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Πελάτες\Προσφορές Cosmofarm\2022\ΜΗΝΙΑΙΕΣ ΦΑΡΜΑΚΕΙΩΝ\"/>
    </mc:Choice>
  </mc:AlternateContent>
  <xr:revisionPtr revIDLastSave="0" documentId="13_ncr:1_{A102EA7F-AF62-4CAF-B0E3-4AE1A124306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2022" sheetId="2" r:id="rId1"/>
    <sheet name="Φύλλο2" sheetId="3" r:id="rId2"/>
    <sheet name="Φύλλο3" sheetId="4" r:id="rId3"/>
  </sheets>
  <definedNames>
    <definedName name="_xlnm._FilterDatabase" localSheetId="0" hidden="1">'2022'!$A$6:$J$630</definedName>
    <definedName name="_xlnm.Print_Titles" localSheetId="0">'2022'!$1:$5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3" i="2" l="1"/>
  <c r="H106" i="2"/>
  <c r="H105" i="2"/>
  <c r="H222" i="2"/>
  <c r="H84" i="2"/>
  <c r="H83" i="2"/>
  <c r="H90" i="2"/>
  <c r="H292" i="2"/>
  <c r="H278" i="2"/>
  <c r="H157" i="2"/>
  <c r="H279" i="2"/>
  <c r="E198" i="2"/>
  <c r="D442" i="2"/>
  <c r="C442" i="2"/>
  <c r="B441" i="2"/>
  <c r="C441" i="2"/>
  <c r="D441" i="2"/>
  <c r="E441" i="2"/>
  <c r="H441" i="2"/>
  <c r="H442" i="2"/>
  <c r="B442" i="2"/>
  <c r="H162" i="2"/>
  <c r="H161" i="2"/>
  <c r="H160" i="2"/>
  <c r="H159" i="2"/>
  <c r="H158" i="2"/>
  <c r="H156" i="2"/>
  <c r="H155" i="2"/>
  <c r="H124" i="2" l="1"/>
  <c r="D124" i="2"/>
  <c r="C124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5" i="2"/>
  <c r="H86" i="2"/>
  <c r="H87" i="2"/>
  <c r="H88" i="2"/>
  <c r="H89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54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4" i="2"/>
  <c r="H445" i="2"/>
  <c r="H443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7" i="2"/>
  <c r="B594" i="2"/>
  <c r="C594" i="2"/>
  <c r="D594" i="2"/>
  <c r="E594" i="2"/>
  <c r="B595" i="2"/>
  <c r="C595" i="2"/>
  <c r="D595" i="2"/>
  <c r="E595" i="2"/>
  <c r="B596" i="2"/>
  <c r="C596" i="2"/>
  <c r="D596" i="2"/>
  <c r="E596" i="2"/>
  <c r="B597" i="2"/>
  <c r="C597" i="2"/>
  <c r="D597" i="2"/>
  <c r="E597" i="2"/>
  <c r="B598" i="2"/>
  <c r="C598" i="2"/>
  <c r="D598" i="2"/>
  <c r="E598" i="2"/>
  <c r="B599" i="2"/>
  <c r="C599" i="2"/>
  <c r="D599" i="2"/>
  <c r="E599" i="2"/>
  <c r="B600" i="2"/>
  <c r="C600" i="2"/>
  <c r="D600" i="2"/>
  <c r="E600" i="2"/>
  <c r="B601" i="2"/>
  <c r="C601" i="2"/>
  <c r="D601" i="2"/>
  <c r="E601" i="2"/>
  <c r="B602" i="2"/>
  <c r="C602" i="2"/>
  <c r="D602" i="2"/>
  <c r="E602" i="2"/>
  <c r="B603" i="2"/>
  <c r="C603" i="2"/>
  <c r="D603" i="2"/>
  <c r="E603" i="2"/>
  <c r="B604" i="2"/>
  <c r="C604" i="2"/>
  <c r="D604" i="2"/>
  <c r="E604" i="2"/>
  <c r="B605" i="2"/>
  <c r="C605" i="2"/>
  <c r="D605" i="2"/>
  <c r="E605" i="2"/>
  <c r="B606" i="2"/>
  <c r="C606" i="2"/>
  <c r="D606" i="2"/>
  <c r="E606" i="2"/>
  <c r="B607" i="2"/>
  <c r="C607" i="2"/>
  <c r="D607" i="2"/>
  <c r="E607" i="2"/>
  <c r="B608" i="2"/>
  <c r="C608" i="2"/>
  <c r="D608" i="2"/>
  <c r="E608" i="2"/>
  <c r="B609" i="2"/>
  <c r="C609" i="2"/>
  <c r="D609" i="2"/>
  <c r="E609" i="2"/>
  <c r="B610" i="2"/>
  <c r="C610" i="2"/>
  <c r="D610" i="2"/>
  <c r="E610" i="2"/>
  <c r="B611" i="2"/>
  <c r="C611" i="2"/>
  <c r="D611" i="2"/>
  <c r="E611" i="2"/>
  <c r="B612" i="2"/>
  <c r="C612" i="2"/>
  <c r="D612" i="2"/>
  <c r="E612" i="2"/>
  <c r="B613" i="2"/>
  <c r="C613" i="2"/>
  <c r="D613" i="2"/>
  <c r="E613" i="2"/>
  <c r="B614" i="2"/>
  <c r="C614" i="2"/>
  <c r="D614" i="2"/>
  <c r="E614" i="2"/>
  <c r="B615" i="2"/>
  <c r="C615" i="2"/>
  <c r="D615" i="2"/>
  <c r="E615" i="2"/>
  <c r="B616" i="2"/>
  <c r="C616" i="2"/>
  <c r="D616" i="2"/>
  <c r="E616" i="2"/>
  <c r="B617" i="2"/>
  <c r="C617" i="2"/>
  <c r="D617" i="2"/>
  <c r="E617" i="2"/>
  <c r="B618" i="2"/>
  <c r="C618" i="2"/>
  <c r="D618" i="2"/>
  <c r="E618" i="2"/>
  <c r="B619" i="2"/>
  <c r="C619" i="2"/>
  <c r="D619" i="2"/>
  <c r="E619" i="2"/>
  <c r="B620" i="2"/>
  <c r="C620" i="2"/>
  <c r="D620" i="2"/>
  <c r="E620" i="2"/>
  <c r="B621" i="2"/>
  <c r="C621" i="2"/>
  <c r="D621" i="2"/>
  <c r="E621" i="2"/>
  <c r="B622" i="2"/>
  <c r="C622" i="2"/>
  <c r="D622" i="2"/>
  <c r="E622" i="2"/>
  <c r="B623" i="2"/>
  <c r="C623" i="2"/>
  <c r="D623" i="2"/>
  <c r="E623" i="2"/>
  <c r="B624" i="2"/>
  <c r="C624" i="2"/>
  <c r="D624" i="2"/>
  <c r="E624" i="2"/>
  <c r="B625" i="2"/>
  <c r="C625" i="2"/>
  <c r="D625" i="2"/>
  <c r="E625" i="2"/>
  <c r="B626" i="2"/>
  <c r="C626" i="2"/>
  <c r="D626" i="2"/>
  <c r="E626" i="2"/>
  <c r="B627" i="2"/>
  <c r="C627" i="2"/>
  <c r="D627" i="2"/>
  <c r="E627" i="2"/>
  <c r="B628" i="2"/>
  <c r="C628" i="2"/>
  <c r="D628" i="2"/>
  <c r="E628" i="2"/>
  <c r="B629" i="2"/>
  <c r="C629" i="2"/>
  <c r="D629" i="2"/>
  <c r="E629" i="2"/>
  <c r="B630" i="2"/>
  <c r="C630" i="2"/>
  <c r="D630" i="2"/>
  <c r="E630" i="2"/>
  <c r="B548" i="2"/>
  <c r="C548" i="2"/>
  <c r="D548" i="2"/>
  <c r="E548" i="2"/>
  <c r="B549" i="2"/>
  <c r="C549" i="2"/>
  <c r="D549" i="2"/>
  <c r="E549" i="2"/>
  <c r="B550" i="2"/>
  <c r="C550" i="2"/>
  <c r="D550" i="2"/>
  <c r="E550" i="2"/>
  <c r="B551" i="2"/>
  <c r="C551" i="2"/>
  <c r="D551" i="2"/>
  <c r="E551" i="2"/>
  <c r="B552" i="2"/>
  <c r="C552" i="2"/>
  <c r="D552" i="2"/>
  <c r="E552" i="2"/>
  <c r="B553" i="2"/>
  <c r="C553" i="2"/>
  <c r="D553" i="2"/>
  <c r="E553" i="2"/>
  <c r="B554" i="2"/>
  <c r="C554" i="2"/>
  <c r="D554" i="2"/>
  <c r="E554" i="2"/>
  <c r="B555" i="2"/>
  <c r="C555" i="2"/>
  <c r="D555" i="2"/>
  <c r="E555" i="2"/>
  <c r="B556" i="2"/>
  <c r="C556" i="2"/>
  <c r="D556" i="2"/>
  <c r="E556" i="2"/>
  <c r="B557" i="2"/>
  <c r="C557" i="2"/>
  <c r="D557" i="2"/>
  <c r="E557" i="2"/>
  <c r="B558" i="2"/>
  <c r="C558" i="2"/>
  <c r="D558" i="2"/>
  <c r="E558" i="2"/>
  <c r="B559" i="2"/>
  <c r="C559" i="2"/>
  <c r="D559" i="2"/>
  <c r="E559" i="2"/>
  <c r="B560" i="2"/>
  <c r="C560" i="2"/>
  <c r="D560" i="2"/>
  <c r="E560" i="2"/>
  <c r="B561" i="2"/>
  <c r="C561" i="2"/>
  <c r="D561" i="2"/>
  <c r="E561" i="2"/>
  <c r="B562" i="2"/>
  <c r="C562" i="2"/>
  <c r="D562" i="2"/>
  <c r="E562" i="2"/>
  <c r="B563" i="2"/>
  <c r="C563" i="2"/>
  <c r="D563" i="2"/>
  <c r="E563" i="2"/>
  <c r="B564" i="2"/>
  <c r="C564" i="2"/>
  <c r="D564" i="2"/>
  <c r="E564" i="2"/>
  <c r="B565" i="2"/>
  <c r="C565" i="2"/>
  <c r="D565" i="2"/>
  <c r="E565" i="2"/>
  <c r="B566" i="2"/>
  <c r="C566" i="2"/>
  <c r="D566" i="2"/>
  <c r="E566" i="2"/>
  <c r="B567" i="2"/>
  <c r="C567" i="2"/>
  <c r="D567" i="2"/>
  <c r="E567" i="2"/>
  <c r="B568" i="2"/>
  <c r="C568" i="2"/>
  <c r="D568" i="2"/>
  <c r="E568" i="2"/>
  <c r="B569" i="2"/>
  <c r="C569" i="2"/>
  <c r="D569" i="2"/>
  <c r="E569" i="2"/>
  <c r="B570" i="2"/>
  <c r="C570" i="2"/>
  <c r="D570" i="2"/>
  <c r="E570" i="2"/>
  <c r="B571" i="2"/>
  <c r="C571" i="2"/>
  <c r="D571" i="2"/>
  <c r="E571" i="2"/>
  <c r="B572" i="2"/>
  <c r="C572" i="2"/>
  <c r="D572" i="2"/>
  <c r="E572" i="2"/>
  <c r="B573" i="2"/>
  <c r="B574" i="2"/>
  <c r="C574" i="2"/>
  <c r="D574" i="2"/>
  <c r="E574" i="2"/>
  <c r="B575" i="2"/>
  <c r="C575" i="2"/>
  <c r="D575" i="2"/>
  <c r="E575" i="2"/>
  <c r="B576" i="2"/>
  <c r="C576" i="2"/>
  <c r="D576" i="2"/>
  <c r="E576" i="2"/>
  <c r="B577" i="2"/>
  <c r="C577" i="2"/>
  <c r="D577" i="2"/>
  <c r="E577" i="2"/>
  <c r="B578" i="2"/>
  <c r="C578" i="2"/>
  <c r="D578" i="2"/>
  <c r="E578" i="2"/>
  <c r="B579" i="2"/>
  <c r="C579" i="2"/>
  <c r="D579" i="2"/>
  <c r="E579" i="2"/>
  <c r="B580" i="2"/>
  <c r="C580" i="2"/>
  <c r="D580" i="2"/>
  <c r="E580" i="2"/>
  <c r="B581" i="2"/>
  <c r="C581" i="2"/>
  <c r="D581" i="2"/>
  <c r="E581" i="2"/>
  <c r="B582" i="2"/>
  <c r="C582" i="2"/>
  <c r="D582" i="2"/>
  <c r="E582" i="2"/>
  <c r="B583" i="2"/>
  <c r="C583" i="2"/>
  <c r="D583" i="2"/>
  <c r="E583" i="2"/>
  <c r="C584" i="2"/>
  <c r="D584" i="2"/>
  <c r="E584" i="2"/>
  <c r="B585" i="2"/>
  <c r="C585" i="2"/>
  <c r="D585" i="2"/>
  <c r="E585" i="2"/>
  <c r="B586" i="2"/>
  <c r="C586" i="2"/>
  <c r="D586" i="2"/>
  <c r="E586" i="2"/>
  <c r="B587" i="2"/>
  <c r="C587" i="2"/>
  <c r="D587" i="2"/>
  <c r="E587" i="2"/>
  <c r="B588" i="2"/>
  <c r="C588" i="2"/>
  <c r="D588" i="2"/>
  <c r="E588" i="2"/>
  <c r="B589" i="2"/>
  <c r="C589" i="2"/>
  <c r="D589" i="2"/>
  <c r="E589" i="2"/>
  <c r="B590" i="2"/>
  <c r="C590" i="2"/>
  <c r="D590" i="2"/>
  <c r="E590" i="2"/>
  <c r="B591" i="2"/>
  <c r="C591" i="2"/>
  <c r="D591" i="2"/>
  <c r="E591" i="2"/>
  <c r="B592" i="2"/>
  <c r="C592" i="2"/>
  <c r="D592" i="2"/>
  <c r="E592" i="2"/>
  <c r="B593" i="2"/>
  <c r="C593" i="2"/>
  <c r="D593" i="2"/>
  <c r="E593" i="2"/>
  <c r="B533" i="2"/>
  <c r="C533" i="2"/>
  <c r="D533" i="2"/>
  <c r="E533" i="2"/>
  <c r="B534" i="2"/>
  <c r="C534" i="2"/>
  <c r="D534" i="2"/>
  <c r="E534" i="2"/>
  <c r="B535" i="2"/>
  <c r="C535" i="2"/>
  <c r="D535" i="2"/>
  <c r="E535" i="2"/>
  <c r="C536" i="2"/>
  <c r="D536" i="2"/>
  <c r="E536" i="2"/>
  <c r="B537" i="2"/>
  <c r="C537" i="2"/>
  <c r="D537" i="2"/>
  <c r="E537" i="2"/>
  <c r="B538" i="2"/>
  <c r="C538" i="2"/>
  <c r="D538" i="2"/>
  <c r="E538" i="2"/>
  <c r="B539" i="2"/>
  <c r="C539" i="2"/>
  <c r="D539" i="2"/>
  <c r="E539" i="2"/>
  <c r="B540" i="2"/>
  <c r="C540" i="2"/>
  <c r="D540" i="2"/>
  <c r="E540" i="2"/>
  <c r="B541" i="2"/>
  <c r="C541" i="2"/>
  <c r="D541" i="2"/>
  <c r="E541" i="2"/>
  <c r="B542" i="2"/>
  <c r="C542" i="2"/>
  <c r="D542" i="2"/>
  <c r="E542" i="2"/>
  <c r="B543" i="2"/>
  <c r="C543" i="2"/>
  <c r="D543" i="2"/>
  <c r="E543" i="2"/>
  <c r="B544" i="2"/>
  <c r="C544" i="2"/>
  <c r="D544" i="2"/>
  <c r="E544" i="2"/>
  <c r="B545" i="2"/>
  <c r="C545" i="2"/>
  <c r="D545" i="2"/>
  <c r="E545" i="2"/>
  <c r="B546" i="2"/>
  <c r="C546" i="2"/>
  <c r="D546" i="2"/>
  <c r="E546" i="2"/>
  <c r="B547" i="2"/>
  <c r="C547" i="2"/>
  <c r="D547" i="2"/>
  <c r="E547" i="2"/>
  <c r="B446" i="2"/>
  <c r="C446" i="2"/>
  <c r="D446" i="2"/>
  <c r="E446" i="2"/>
  <c r="B447" i="2"/>
  <c r="C447" i="2"/>
  <c r="D447" i="2"/>
  <c r="E447" i="2"/>
  <c r="B448" i="2"/>
  <c r="C448" i="2"/>
  <c r="D448" i="2"/>
  <c r="E448" i="2"/>
  <c r="B449" i="2"/>
  <c r="C449" i="2"/>
  <c r="D449" i="2"/>
  <c r="E449" i="2"/>
  <c r="B450" i="2"/>
  <c r="C450" i="2"/>
  <c r="D450" i="2"/>
  <c r="E450" i="2"/>
  <c r="B451" i="2"/>
  <c r="C451" i="2"/>
  <c r="D451" i="2"/>
  <c r="E451" i="2"/>
  <c r="B452" i="2"/>
  <c r="C452" i="2"/>
  <c r="D452" i="2"/>
  <c r="E452" i="2"/>
  <c r="B453" i="2"/>
  <c r="C453" i="2"/>
  <c r="D453" i="2"/>
  <c r="E453" i="2"/>
  <c r="B454" i="2"/>
  <c r="C454" i="2"/>
  <c r="D454" i="2"/>
  <c r="E454" i="2"/>
  <c r="B455" i="2"/>
  <c r="C455" i="2"/>
  <c r="D455" i="2"/>
  <c r="E455" i="2"/>
  <c r="B456" i="2"/>
  <c r="C456" i="2"/>
  <c r="D456" i="2"/>
  <c r="E456" i="2"/>
  <c r="B436" i="2"/>
  <c r="C436" i="2"/>
  <c r="D436" i="2"/>
  <c r="E436" i="2"/>
  <c r="B437" i="2"/>
  <c r="C437" i="2"/>
  <c r="D437" i="2"/>
  <c r="E437" i="2"/>
  <c r="B438" i="2"/>
  <c r="C438" i="2"/>
  <c r="D438" i="2"/>
  <c r="E438" i="2"/>
  <c r="B439" i="2"/>
  <c r="C439" i="2"/>
  <c r="D439" i="2"/>
  <c r="E439" i="2"/>
  <c r="B440" i="2"/>
  <c r="C440" i="2"/>
  <c r="D440" i="2"/>
  <c r="E440" i="2"/>
  <c r="B444" i="2"/>
  <c r="C444" i="2"/>
  <c r="D444" i="2"/>
  <c r="E444" i="2"/>
  <c r="B445" i="2"/>
  <c r="C445" i="2"/>
  <c r="D445" i="2"/>
  <c r="E445" i="2"/>
  <c r="B443" i="2"/>
  <c r="C443" i="2"/>
  <c r="D443" i="2"/>
  <c r="E443" i="2"/>
  <c r="C428" i="2"/>
  <c r="D428" i="2"/>
  <c r="E428" i="2"/>
  <c r="C429" i="2"/>
  <c r="D429" i="2"/>
  <c r="E429" i="2"/>
  <c r="C430" i="2"/>
  <c r="D430" i="2"/>
  <c r="E430" i="2"/>
  <c r="C431" i="2"/>
  <c r="D431" i="2"/>
  <c r="E431" i="2"/>
  <c r="C432" i="2"/>
  <c r="D432" i="2"/>
  <c r="E432" i="2"/>
  <c r="C433" i="2"/>
  <c r="D433" i="2"/>
  <c r="E433" i="2"/>
  <c r="B434" i="2"/>
  <c r="C434" i="2"/>
  <c r="D434" i="2"/>
  <c r="E434" i="2"/>
  <c r="B435" i="2"/>
  <c r="C435" i="2"/>
  <c r="D435" i="2"/>
  <c r="E435" i="2"/>
  <c r="B420" i="2"/>
  <c r="C420" i="2"/>
  <c r="D420" i="2"/>
  <c r="E420" i="2"/>
  <c r="B421" i="2"/>
  <c r="C421" i="2"/>
  <c r="D421" i="2"/>
  <c r="E421" i="2"/>
  <c r="B422" i="2"/>
  <c r="C422" i="2"/>
  <c r="D422" i="2"/>
  <c r="E422" i="2"/>
  <c r="B423" i="2"/>
  <c r="C423" i="2"/>
  <c r="D423" i="2"/>
  <c r="E423" i="2"/>
  <c r="B424" i="2"/>
  <c r="C424" i="2"/>
  <c r="D424" i="2"/>
  <c r="E424" i="2"/>
  <c r="B425" i="2"/>
  <c r="C425" i="2"/>
  <c r="D425" i="2"/>
  <c r="E425" i="2"/>
  <c r="B426" i="2"/>
  <c r="C426" i="2"/>
  <c r="D426" i="2"/>
  <c r="E426" i="2"/>
  <c r="B427" i="2"/>
  <c r="C427" i="2"/>
  <c r="D427" i="2"/>
  <c r="E427" i="2"/>
  <c r="B260" i="2"/>
  <c r="C260" i="2"/>
  <c r="D260" i="2"/>
  <c r="E260" i="2"/>
  <c r="B261" i="2"/>
  <c r="C261" i="2"/>
  <c r="D261" i="2"/>
  <c r="E261" i="2"/>
  <c r="B419" i="2"/>
  <c r="C419" i="2"/>
  <c r="D419" i="2"/>
  <c r="E419" i="2"/>
  <c r="B414" i="2"/>
  <c r="C414" i="2"/>
  <c r="D414" i="2"/>
  <c r="E414" i="2"/>
  <c r="B415" i="2"/>
  <c r="C415" i="2"/>
  <c r="D415" i="2"/>
  <c r="E415" i="2"/>
  <c r="B416" i="2"/>
  <c r="B417" i="2"/>
  <c r="C417" i="2"/>
  <c r="D417" i="2"/>
  <c r="E417" i="2"/>
  <c r="B418" i="2"/>
  <c r="C418" i="2"/>
  <c r="D418" i="2"/>
  <c r="E418" i="2"/>
  <c r="E413" i="2"/>
  <c r="D413" i="2"/>
  <c r="C413" i="2"/>
  <c r="B413" i="2"/>
  <c r="E412" i="2"/>
  <c r="D412" i="2"/>
  <c r="C412" i="2"/>
  <c r="B412" i="2"/>
  <c r="E411" i="2"/>
  <c r="D411" i="2"/>
  <c r="C411" i="2"/>
  <c r="B411" i="2"/>
  <c r="E410" i="2"/>
  <c r="D410" i="2"/>
  <c r="C410" i="2"/>
  <c r="B410" i="2"/>
  <c r="E409" i="2"/>
  <c r="D409" i="2"/>
  <c r="C409" i="2"/>
  <c r="B409" i="2"/>
  <c r="E408" i="2"/>
  <c r="D408" i="2"/>
  <c r="C408" i="2"/>
  <c r="B408" i="2"/>
  <c r="E407" i="2"/>
  <c r="D407" i="2"/>
  <c r="C407" i="2"/>
  <c r="B407" i="2"/>
  <c r="E406" i="2"/>
  <c r="D406" i="2"/>
  <c r="C406" i="2"/>
  <c r="B406" i="2"/>
  <c r="E405" i="2"/>
  <c r="D405" i="2"/>
  <c r="C405" i="2"/>
  <c r="B405" i="2"/>
  <c r="E404" i="2"/>
  <c r="D404" i="2"/>
  <c r="C404" i="2"/>
  <c r="B404" i="2"/>
  <c r="E403" i="2"/>
  <c r="D403" i="2"/>
  <c r="C403" i="2"/>
  <c r="B403" i="2"/>
  <c r="E402" i="2"/>
  <c r="D402" i="2"/>
  <c r="C402" i="2"/>
  <c r="B402" i="2"/>
  <c r="B391" i="2"/>
  <c r="C391" i="2"/>
  <c r="D391" i="2"/>
  <c r="E391" i="2"/>
  <c r="B392" i="2"/>
  <c r="B393" i="2"/>
  <c r="C393" i="2"/>
  <c r="D393" i="2"/>
  <c r="E393" i="2"/>
  <c r="B394" i="2"/>
  <c r="C394" i="2"/>
  <c r="D394" i="2"/>
  <c r="E394" i="2"/>
  <c r="B395" i="2"/>
  <c r="C395" i="2"/>
  <c r="D395" i="2"/>
  <c r="E395" i="2"/>
  <c r="B396" i="2"/>
  <c r="C396" i="2"/>
  <c r="D396" i="2"/>
  <c r="E396" i="2"/>
  <c r="B397" i="2"/>
  <c r="C397" i="2"/>
  <c r="D397" i="2"/>
  <c r="E397" i="2"/>
  <c r="B398" i="2"/>
  <c r="C398" i="2"/>
  <c r="D398" i="2"/>
  <c r="E398" i="2"/>
  <c r="B399" i="2"/>
  <c r="C399" i="2"/>
  <c r="D399" i="2"/>
  <c r="E399" i="2"/>
  <c r="B400" i="2"/>
  <c r="C400" i="2"/>
  <c r="D400" i="2"/>
  <c r="E400" i="2"/>
  <c r="B401" i="2"/>
  <c r="C401" i="2"/>
  <c r="D401" i="2"/>
  <c r="E401" i="2"/>
  <c r="E341" i="2"/>
  <c r="D341" i="2"/>
  <c r="C341" i="2"/>
  <c r="B341" i="2"/>
  <c r="B385" i="2"/>
  <c r="C385" i="2"/>
  <c r="D385" i="2"/>
  <c r="E385" i="2"/>
  <c r="B386" i="2"/>
  <c r="C386" i="2"/>
  <c r="D386" i="2"/>
  <c r="E386" i="2"/>
  <c r="B387" i="2"/>
  <c r="C387" i="2"/>
  <c r="D387" i="2"/>
  <c r="E387" i="2"/>
  <c r="B388" i="2"/>
  <c r="C388" i="2"/>
  <c r="D388" i="2"/>
  <c r="E388" i="2"/>
  <c r="B389" i="2"/>
  <c r="C389" i="2"/>
  <c r="D389" i="2"/>
  <c r="E389" i="2"/>
  <c r="B390" i="2"/>
  <c r="C390" i="2"/>
  <c r="D390" i="2"/>
  <c r="E390" i="2"/>
  <c r="C376" i="2"/>
  <c r="D376" i="2"/>
  <c r="E376" i="2"/>
  <c r="B377" i="2"/>
  <c r="C377" i="2"/>
  <c r="D377" i="2"/>
  <c r="E377" i="2"/>
  <c r="B378" i="2"/>
  <c r="C378" i="2"/>
  <c r="D378" i="2"/>
  <c r="E378" i="2"/>
  <c r="B379" i="2"/>
  <c r="C379" i="2"/>
  <c r="D379" i="2"/>
  <c r="E379" i="2"/>
  <c r="B380" i="2"/>
  <c r="C380" i="2"/>
  <c r="D380" i="2"/>
  <c r="E380" i="2"/>
  <c r="B381" i="2"/>
  <c r="C381" i="2"/>
  <c r="D381" i="2"/>
  <c r="E381" i="2"/>
  <c r="B382" i="2"/>
  <c r="C382" i="2"/>
  <c r="D382" i="2"/>
  <c r="E382" i="2"/>
  <c r="B383" i="2"/>
  <c r="C383" i="2"/>
  <c r="D383" i="2"/>
  <c r="E383" i="2"/>
  <c r="B384" i="2"/>
  <c r="C384" i="2"/>
  <c r="D384" i="2"/>
  <c r="E384" i="2"/>
  <c r="B364" i="2"/>
  <c r="C364" i="2"/>
  <c r="D364" i="2"/>
  <c r="E364" i="2"/>
  <c r="B365" i="2"/>
  <c r="C365" i="2"/>
  <c r="D365" i="2"/>
  <c r="E365" i="2"/>
  <c r="B366" i="2"/>
  <c r="C366" i="2"/>
  <c r="D366" i="2"/>
  <c r="E366" i="2"/>
  <c r="B367" i="2"/>
  <c r="C367" i="2"/>
  <c r="D367" i="2"/>
  <c r="E367" i="2"/>
  <c r="B368" i="2"/>
  <c r="C368" i="2"/>
  <c r="D368" i="2"/>
  <c r="E368" i="2"/>
  <c r="B369" i="2"/>
  <c r="C369" i="2"/>
  <c r="D369" i="2"/>
  <c r="E369" i="2"/>
  <c r="B370" i="2"/>
  <c r="C370" i="2"/>
  <c r="D370" i="2"/>
  <c r="E370" i="2"/>
  <c r="B371" i="2"/>
  <c r="C371" i="2"/>
  <c r="D371" i="2"/>
  <c r="E371" i="2"/>
  <c r="B372" i="2"/>
  <c r="C372" i="2"/>
  <c r="D372" i="2"/>
  <c r="E372" i="2"/>
  <c r="B373" i="2"/>
  <c r="C373" i="2"/>
  <c r="D373" i="2"/>
  <c r="E373" i="2"/>
  <c r="B374" i="2"/>
  <c r="C374" i="2"/>
  <c r="D374" i="2"/>
  <c r="E374" i="2"/>
  <c r="B375" i="2"/>
  <c r="C375" i="2"/>
  <c r="D375" i="2"/>
  <c r="E375" i="2"/>
  <c r="E353" i="2"/>
  <c r="D353" i="2"/>
  <c r="C353" i="2"/>
  <c r="B353" i="2"/>
  <c r="E335" i="2"/>
  <c r="D335" i="2"/>
  <c r="C335" i="2"/>
  <c r="B335" i="2"/>
  <c r="E334" i="2"/>
  <c r="D334" i="2"/>
  <c r="C334" i="2"/>
  <c r="B334" i="2"/>
  <c r="E333" i="2"/>
  <c r="D333" i="2"/>
  <c r="C333" i="2"/>
  <c r="B333" i="2"/>
  <c r="B354" i="2"/>
  <c r="B355" i="2"/>
  <c r="C355" i="2"/>
  <c r="D355" i="2"/>
  <c r="E355" i="2"/>
  <c r="B356" i="2"/>
  <c r="C356" i="2"/>
  <c r="D356" i="2"/>
  <c r="E356" i="2"/>
  <c r="B357" i="2"/>
  <c r="C357" i="2"/>
  <c r="D357" i="2"/>
  <c r="E357" i="2"/>
  <c r="B358" i="2"/>
  <c r="C358" i="2"/>
  <c r="D358" i="2"/>
  <c r="E358" i="2"/>
  <c r="B359" i="2"/>
  <c r="C359" i="2"/>
  <c r="D359" i="2"/>
  <c r="E359" i="2"/>
  <c r="B360" i="2"/>
  <c r="C360" i="2"/>
  <c r="D360" i="2"/>
  <c r="E360" i="2"/>
  <c r="B361" i="2"/>
  <c r="C361" i="2"/>
  <c r="D361" i="2"/>
  <c r="E361" i="2"/>
  <c r="B362" i="2"/>
  <c r="C362" i="2"/>
  <c r="D362" i="2"/>
  <c r="E362" i="2"/>
  <c r="B363" i="2"/>
  <c r="C363" i="2"/>
  <c r="D363" i="2"/>
  <c r="E363" i="2"/>
  <c r="B331" i="2"/>
  <c r="C331" i="2"/>
  <c r="D331" i="2"/>
  <c r="E331" i="2"/>
  <c r="B332" i="2"/>
  <c r="C332" i="2"/>
  <c r="D332" i="2"/>
  <c r="E332" i="2"/>
  <c r="B336" i="2"/>
  <c r="C336" i="2"/>
  <c r="D336" i="2"/>
  <c r="E336" i="2"/>
  <c r="B337" i="2"/>
  <c r="C337" i="2"/>
  <c r="D337" i="2"/>
  <c r="E337" i="2"/>
  <c r="B338" i="2"/>
  <c r="C338" i="2"/>
  <c r="D338" i="2"/>
  <c r="E338" i="2"/>
  <c r="B339" i="2"/>
  <c r="C339" i="2"/>
  <c r="D339" i="2"/>
  <c r="E339" i="2"/>
  <c r="B340" i="2"/>
  <c r="C340" i="2"/>
  <c r="D340" i="2"/>
  <c r="E340" i="2"/>
  <c r="B342" i="2"/>
  <c r="C342" i="2"/>
  <c r="D342" i="2"/>
  <c r="E342" i="2"/>
  <c r="B343" i="2"/>
  <c r="C343" i="2"/>
  <c r="D343" i="2"/>
  <c r="E343" i="2"/>
  <c r="B344" i="2"/>
  <c r="C344" i="2"/>
  <c r="D344" i="2"/>
  <c r="E344" i="2"/>
  <c r="B345" i="2"/>
  <c r="C345" i="2"/>
  <c r="D345" i="2"/>
  <c r="E345" i="2"/>
  <c r="B346" i="2"/>
  <c r="C346" i="2"/>
  <c r="E346" i="2"/>
  <c r="B347" i="2"/>
  <c r="C347" i="2"/>
  <c r="D347" i="2"/>
  <c r="E347" i="2"/>
  <c r="B348" i="2"/>
  <c r="C348" i="2"/>
  <c r="D348" i="2"/>
  <c r="E348" i="2"/>
  <c r="B349" i="2"/>
  <c r="C349" i="2"/>
  <c r="D349" i="2"/>
  <c r="E349" i="2"/>
  <c r="B350" i="2"/>
  <c r="C350" i="2"/>
  <c r="D350" i="2"/>
  <c r="E350" i="2"/>
  <c r="B351" i="2"/>
  <c r="C351" i="2"/>
  <c r="D351" i="2"/>
  <c r="E351" i="2"/>
  <c r="B352" i="2"/>
  <c r="C352" i="2"/>
  <c r="D352" i="2"/>
  <c r="E352" i="2"/>
  <c r="B317" i="2"/>
  <c r="C317" i="2"/>
  <c r="D317" i="2"/>
  <c r="E317" i="2"/>
  <c r="B318" i="2"/>
  <c r="C318" i="2"/>
  <c r="D318" i="2"/>
  <c r="E318" i="2"/>
  <c r="B319" i="2"/>
  <c r="C319" i="2"/>
  <c r="D319" i="2"/>
  <c r="E319" i="2"/>
  <c r="B320" i="2"/>
  <c r="C320" i="2"/>
  <c r="D320" i="2"/>
  <c r="E320" i="2"/>
  <c r="B321" i="2"/>
  <c r="C321" i="2"/>
  <c r="D321" i="2"/>
  <c r="E321" i="2"/>
  <c r="B322" i="2"/>
  <c r="C322" i="2"/>
  <c r="D322" i="2"/>
  <c r="E322" i="2"/>
  <c r="B323" i="2"/>
  <c r="C323" i="2"/>
  <c r="D323" i="2"/>
  <c r="E323" i="2"/>
  <c r="B324" i="2"/>
  <c r="C324" i="2"/>
  <c r="D324" i="2"/>
  <c r="E324" i="2"/>
  <c r="B325" i="2"/>
  <c r="C325" i="2"/>
  <c r="D325" i="2"/>
  <c r="E325" i="2"/>
  <c r="B326" i="2"/>
  <c r="C326" i="2"/>
  <c r="D326" i="2"/>
  <c r="E326" i="2"/>
  <c r="B327" i="2"/>
  <c r="C327" i="2"/>
  <c r="D327" i="2"/>
  <c r="E327" i="2"/>
  <c r="B328" i="2"/>
  <c r="C328" i="2"/>
  <c r="D328" i="2"/>
  <c r="E328" i="2"/>
  <c r="B329" i="2"/>
  <c r="C329" i="2"/>
  <c r="D329" i="2"/>
  <c r="E329" i="2"/>
  <c r="B330" i="2"/>
  <c r="C330" i="2"/>
  <c r="D330" i="2"/>
  <c r="E330" i="2"/>
  <c r="B275" i="2" l="1"/>
  <c r="C275" i="2"/>
  <c r="D275" i="2"/>
  <c r="E275" i="2"/>
  <c r="B276" i="2"/>
  <c r="C276" i="2"/>
  <c r="D276" i="2"/>
  <c r="E276" i="2"/>
  <c r="B277" i="2"/>
  <c r="C277" i="2"/>
  <c r="D277" i="2"/>
  <c r="E277" i="2"/>
  <c r="C280" i="2"/>
  <c r="D280" i="2"/>
  <c r="E280" i="2"/>
  <c r="B281" i="2"/>
  <c r="C281" i="2"/>
  <c r="D281" i="2"/>
  <c r="E281" i="2"/>
  <c r="B282" i="2"/>
  <c r="C282" i="2"/>
  <c r="D282" i="2"/>
  <c r="E282" i="2"/>
  <c r="B283" i="2"/>
  <c r="C283" i="2"/>
  <c r="D283" i="2"/>
  <c r="E283" i="2"/>
  <c r="B284" i="2"/>
  <c r="C284" i="2"/>
  <c r="D284" i="2"/>
  <c r="E284" i="2"/>
  <c r="B285" i="2"/>
  <c r="C285" i="2"/>
  <c r="D285" i="2"/>
  <c r="E285" i="2"/>
  <c r="B286" i="2"/>
  <c r="C286" i="2"/>
  <c r="D286" i="2"/>
  <c r="E286" i="2"/>
  <c r="B287" i="2"/>
  <c r="C287" i="2"/>
  <c r="D287" i="2"/>
  <c r="E287" i="2"/>
  <c r="B288" i="2"/>
  <c r="C288" i="2"/>
  <c r="D288" i="2"/>
  <c r="E288" i="2"/>
  <c r="B290" i="2"/>
  <c r="C290" i="2"/>
  <c r="D290" i="2"/>
  <c r="E290" i="2"/>
  <c r="B291" i="2"/>
  <c r="C291" i="2"/>
  <c r="D291" i="2"/>
  <c r="E291" i="2"/>
  <c r="B293" i="2"/>
  <c r="C293" i="2"/>
  <c r="D293" i="2"/>
  <c r="E293" i="2"/>
  <c r="B294" i="2"/>
  <c r="B295" i="2"/>
  <c r="C295" i="2"/>
  <c r="D295" i="2"/>
  <c r="E295" i="2"/>
  <c r="B296" i="2"/>
  <c r="C296" i="2"/>
  <c r="D296" i="2"/>
  <c r="E296" i="2"/>
  <c r="B297" i="2"/>
  <c r="C297" i="2"/>
  <c r="D297" i="2"/>
  <c r="E297" i="2"/>
  <c r="B298" i="2"/>
  <c r="C298" i="2"/>
  <c r="D298" i="2"/>
  <c r="E298" i="2"/>
  <c r="B299" i="2"/>
  <c r="C299" i="2"/>
  <c r="D299" i="2"/>
  <c r="E299" i="2"/>
  <c r="B300" i="2"/>
  <c r="C300" i="2"/>
  <c r="D300" i="2"/>
  <c r="E300" i="2"/>
  <c r="B301" i="2"/>
  <c r="C301" i="2"/>
  <c r="D301" i="2"/>
  <c r="E301" i="2"/>
  <c r="B302" i="2"/>
  <c r="C302" i="2"/>
  <c r="D302" i="2"/>
  <c r="E302" i="2"/>
  <c r="B303" i="2"/>
  <c r="C303" i="2"/>
  <c r="D303" i="2"/>
  <c r="E303" i="2"/>
  <c r="B304" i="2"/>
  <c r="C304" i="2"/>
  <c r="D304" i="2"/>
  <c r="E304" i="2"/>
  <c r="B305" i="2"/>
  <c r="C305" i="2"/>
  <c r="D305" i="2"/>
  <c r="E305" i="2"/>
  <c r="B306" i="2"/>
  <c r="C306" i="2"/>
  <c r="D306" i="2"/>
  <c r="E306" i="2"/>
  <c r="B307" i="2"/>
  <c r="C307" i="2"/>
  <c r="D307" i="2"/>
  <c r="E307" i="2"/>
  <c r="B308" i="2"/>
  <c r="C308" i="2"/>
  <c r="D308" i="2"/>
  <c r="E308" i="2"/>
  <c r="B289" i="2"/>
  <c r="C289" i="2"/>
  <c r="D289" i="2"/>
  <c r="E289" i="2"/>
  <c r="B309" i="2"/>
  <c r="C309" i="2"/>
  <c r="D309" i="2"/>
  <c r="E309" i="2"/>
  <c r="B310" i="2"/>
  <c r="C310" i="2"/>
  <c r="D310" i="2"/>
  <c r="E310" i="2"/>
  <c r="B311" i="2"/>
  <c r="C311" i="2"/>
  <c r="D311" i="2"/>
  <c r="E311" i="2"/>
  <c r="B316" i="2"/>
  <c r="C316" i="2"/>
  <c r="D316" i="2"/>
  <c r="E316" i="2"/>
  <c r="B312" i="2"/>
  <c r="C312" i="2"/>
  <c r="D312" i="2"/>
  <c r="E312" i="2"/>
  <c r="B313" i="2"/>
  <c r="C313" i="2"/>
  <c r="D313" i="2"/>
  <c r="E313" i="2"/>
  <c r="B314" i="2"/>
  <c r="C314" i="2"/>
  <c r="D314" i="2"/>
  <c r="E314" i="2"/>
  <c r="B315" i="2"/>
  <c r="C315" i="2"/>
  <c r="D315" i="2"/>
  <c r="E315" i="2"/>
  <c r="B262" i="2"/>
  <c r="C262" i="2"/>
  <c r="D262" i="2"/>
  <c r="E262" i="2"/>
  <c r="B263" i="2"/>
  <c r="C263" i="2"/>
  <c r="D263" i="2"/>
  <c r="E263" i="2"/>
  <c r="B264" i="2"/>
  <c r="C264" i="2"/>
  <c r="D264" i="2"/>
  <c r="E264" i="2"/>
  <c r="B265" i="2"/>
  <c r="C265" i="2"/>
  <c r="D265" i="2"/>
  <c r="E265" i="2"/>
  <c r="B266" i="2"/>
  <c r="C266" i="2"/>
  <c r="D266" i="2"/>
  <c r="E266" i="2"/>
  <c r="B267" i="2"/>
  <c r="C267" i="2"/>
  <c r="D267" i="2"/>
  <c r="E267" i="2"/>
  <c r="B268" i="2"/>
  <c r="C268" i="2"/>
  <c r="D268" i="2"/>
  <c r="E268" i="2"/>
  <c r="B269" i="2"/>
  <c r="C269" i="2"/>
  <c r="D269" i="2"/>
  <c r="E269" i="2"/>
  <c r="B270" i="2"/>
  <c r="C270" i="2"/>
  <c r="D270" i="2"/>
  <c r="E270" i="2"/>
  <c r="B271" i="2"/>
  <c r="C271" i="2"/>
  <c r="D271" i="2"/>
  <c r="E271" i="2"/>
  <c r="B272" i="2"/>
  <c r="C272" i="2"/>
  <c r="D272" i="2"/>
  <c r="E272" i="2"/>
  <c r="B273" i="2"/>
  <c r="C273" i="2"/>
  <c r="D273" i="2"/>
  <c r="E273" i="2"/>
  <c r="B274" i="2"/>
  <c r="C274" i="2"/>
  <c r="D274" i="2"/>
  <c r="E274" i="2"/>
  <c r="B250" i="2"/>
  <c r="C250" i="2"/>
  <c r="D250" i="2"/>
  <c r="E250" i="2"/>
  <c r="B251" i="2"/>
  <c r="C251" i="2"/>
  <c r="D251" i="2"/>
  <c r="E251" i="2"/>
  <c r="B252" i="2"/>
  <c r="C252" i="2"/>
  <c r="D252" i="2"/>
  <c r="E252" i="2"/>
  <c r="B253" i="2"/>
  <c r="C253" i="2"/>
  <c r="D253" i="2"/>
  <c r="E253" i="2"/>
  <c r="B254" i="2"/>
  <c r="C254" i="2"/>
  <c r="D254" i="2"/>
  <c r="E254" i="2"/>
  <c r="B255" i="2"/>
  <c r="C255" i="2"/>
  <c r="D255" i="2"/>
  <c r="E255" i="2"/>
  <c r="B256" i="2"/>
  <c r="C256" i="2"/>
  <c r="D256" i="2"/>
  <c r="E256" i="2"/>
  <c r="B257" i="2"/>
  <c r="C257" i="2"/>
  <c r="D257" i="2"/>
  <c r="E257" i="2"/>
  <c r="B258" i="2"/>
  <c r="C258" i="2"/>
  <c r="D258" i="2"/>
  <c r="E258" i="2"/>
  <c r="B259" i="2"/>
  <c r="C259" i="2"/>
  <c r="D259" i="2"/>
  <c r="E259" i="2"/>
  <c r="B238" i="2"/>
  <c r="C238" i="2"/>
  <c r="D238" i="2"/>
  <c r="E238" i="2"/>
  <c r="B239" i="2"/>
  <c r="C239" i="2"/>
  <c r="D239" i="2"/>
  <c r="E239" i="2"/>
  <c r="B240" i="2"/>
  <c r="C240" i="2"/>
  <c r="D240" i="2"/>
  <c r="E240" i="2"/>
  <c r="B241" i="2"/>
  <c r="C241" i="2"/>
  <c r="D241" i="2"/>
  <c r="E241" i="2"/>
  <c r="B242" i="2"/>
  <c r="C242" i="2"/>
  <c r="D242" i="2"/>
  <c r="E242" i="2"/>
  <c r="B243" i="2"/>
  <c r="C243" i="2"/>
  <c r="D243" i="2"/>
  <c r="E243" i="2"/>
  <c r="B244" i="2"/>
  <c r="C244" i="2"/>
  <c r="D244" i="2"/>
  <c r="E244" i="2"/>
  <c r="B245" i="2"/>
  <c r="C245" i="2"/>
  <c r="D245" i="2"/>
  <c r="E245" i="2"/>
  <c r="B246" i="2"/>
  <c r="C246" i="2"/>
  <c r="D246" i="2"/>
  <c r="E246" i="2"/>
  <c r="B247" i="2"/>
  <c r="C247" i="2"/>
  <c r="D247" i="2"/>
  <c r="E247" i="2"/>
  <c r="B248" i="2"/>
  <c r="C248" i="2"/>
  <c r="D248" i="2"/>
  <c r="E248" i="2"/>
  <c r="B249" i="2"/>
  <c r="C249" i="2"/>
  <c r="D249" i="2"/>
  <c r="E249" i="2"/>
  <c r="B236" i="2"/>
  <c r="C236" i="2"/>
  <c r="D236" i="2"/>
  <c r="E236" i="2"/>
  <c r="B237" i="2"/>
  <c r="C237" i="2"/>
  <c r="D237" i="2"/>
  <c r="E237" i="2"/>
  <c r="B235" i="2"/>
  <c r="C235" i="2"/>
  <c r="D235" i="2"/>
  <c r="E235" i="2"/>
  <c r="E99" i="2"/>
  <c r="D99" i="2"/>
  <c r="C99" i="2"/>
  <c r="B99" i="2"/>
  <c r="E98" i="2"/>
  <c r="D98" i="2"/>
  <c r="C98" i="2"/>
  <c r="B98" i="2"/>
  <c r="E97" i="2"/>
  <c r="D97" i="2"/>
  <c r="C97" i="2"/>
  <c r="B97" i="2"/>
  <c r="E96" i="2"/>
  <c r="D96" i="2"/>
  <c r="C96" i="2"/>
  <c r="B96" i="2"/>
  <c r="E95" i="2"/>
  <c r="D95" i="2"/>
  <c r="C95" i="2"/>
  <c r="B95" i="2"/>
  <c r="E94" i="2"/>
  <c r="D94" i="2"/>
  <c r="C94" i="2"/>
  <c r="B94" i="2"/>
  <c r="E93" i="2"/>
  <c r="D93" i="2"/>
  <c r="C93" i="2"/>
  <c r="B93" i="2"/>
  <c r="E92" i="2"/>
  <c r="D92" i="2"/>
  <c r="C92" i="2"/>
  <c r="B92" i="2"/>
  <c r="E234" i="2"/>
  <c r="D234" i="2"/>
  <c r="C234" i="2"/>
  <c r="B234" i="2"/>
  <c r="E233" i="2"/>
  <c r="D233" i="2"/>
  <c r="C233" i="2"/>
  <c r="B233" i="2"/>
  <c r="E232" i="2"/>
  <c r="D232" i="2"/>
  <c r="C232" i="2"/>
  <c r="B232" i="2"/>
  <c r="E231" i="2"/>
  <c r="D231" i="2"/>
  <c r="C231" i="2"/>
  <c r="B231" i="2"/>
  <c r="E230" i="2"/>
  <c r="D230" i="2"/>
  <c r="C230" i="2"/>
  <c r="B230" i="2"/>
  <c r="E229" i="2"/>
  <c r="D229" i="2"/>
  <c r="C229" i="2"/>
  <c r="B229" i="2"/>
  <c r="E228" i="2"/>
  <c r="D228" i="2"/>
  <c r="C228" i="2"/>
  <c r="B228" i="2"/>
  <c r="E227" i="2"/>
  <c r="D227" i="2"/>
  <c r="C227" i="2"/>
  <c r="B227" i="2"/>
  <c r="E226" i="2"/>
  <c r="D226" i="2"/>
  <c r="C226" i="2"/>
  <c r="B226" i="2"/>
  <c r="E225" i="2"/>
  <c r="D225" i="2"/>
  <c r="C225" i="2"/>
  <c r="B225" i="2"/>
  <c r="E224" i="2"/>
  <c r="D224" i="2"/>
  <c r="C224" i="2"/>
  <c r="B224" i="2"/>
  <c r="E223" i="2"/>
  <c r="D223" i="2"/>
  <c r="C223" i="2"/>
  <c r="B223" i="2"/>
  <c r="E221" i="2"/>
  <c r="D221" i="2"/>
  <c r="C221" i="2"/>
  <c r="B221" i="2"/>
  <c r="E220" i="2"/>
  <c r="D220" i="2"/>
  <c r="C220" i="2"/>
  <c r="B220" i="2"/>
  <c r="E219" i="2"/>
  <c r="D219" i="2"/>
  <c r="C219" i="2"/>
  <c r="B219" i="2"/>
  <c r="E218" i="2"/>
  <c r="D218" i="2"/>
  <c r="C218" i="2"/>
  <c r="B218" i="2"/>
  <c r="E217" i="2"/>
  <c r="D217" i="2"/>
  <c r="C217" i="2"/>
  <c r="B217" i="2"/>
  <c r="E216" i="2"/>
  <c r="D216" i="2"/>
  <c r="C216" i="2"/>
  <c r="B216" i="2"/>
  <c r="E215" i="2"/>
  <c r="D215" i="2"/>
  <c r="C215" i="2"/>
  <c r="B215" i="2"/>
  <c r="E214" i="2"/>
  <c r="D214" i="2"/>
  <c r="C214" i="2"/>
  <c r="B214" i="2"/>
  <c r="E213" i="2"/>
  <c r="D213" i="2"/>
  <c r="C213" i="2"/>
  <c r="B213" i="2"/>
  <c r="E212" i="2"/>
  <c r="D212" i="2"/>
  <c r="C212" i="2"/>
  <c r="B212" i="2"/>
  <c r="E79" i="2"/>
  <c r="D79" i="2"/>
  <c r="C79" i="2"/>
  <c r="B79" i="2"/>
  <c r="E211" i="2"/>
  <c r="D211" i="2"/>
  <c r="C211" i="2"/>
  <c r="B211" i="2"/>
  <c r="E210" i="2"/>
  <c r="D210" i="2"/>
  <c r="C210" i="2"/>
  <c r="B210" i="2"/>
  <c r="E209" i="2"/>
  <c r="D209" i="2"/>
  <c r="C209" i="2"/>
  <c r="B209" i="2"/>
  <c r="E208" i="2"/>
  <c r="D208" i="2"/>
  <c r="C208" i="2"/>
  <c r="B208" i="2"/>
  <c r="E207" i="2"/>
  <c r="D207" i="2"/>
  <c r="C207" i="2"/>
  <c r="B207" i="2"/>
  <c r="E206" i="2"/>
  <c r="D206" i="2"/>
  <c r="C206" i="2"/>
  <c r="B206" i="2"/>
  <c r="E205" i="2"/>
  <c r="D205" i="2"/>
  <c r="C205" i="2"/>
  <c r="B205" i="2"/>
  <c r="E204" i="2"/>
  <c r="D204" i="2"/>
  <c r="C204" i="2"/>
  <c r="B204" i="2"/>
  <c r="E203" i="2"/>
  <c r="D203" i="2"/>
  <c r="C203" i="2"/>
  <c r="B203" i="2"/>
  <c r="E202" i="2"/>
  <c r="D202" i="2"/>
  <c r="C202" i="2"/>
  <c r="B202" i="2"/>
  <c r="E201" i="2"/>
  <c r="D201" i="2"/>
  <c r="C201" i="2"/>
  <c r="B201" i="2"/>
  <c r="E200" i="2"/>
  <c r="D200" i="2"/>
  <c r="C200" i="2"/>
  <c r="B200" i="2"/>
  <c r="E199" i="2"/>
  <c r="D199" i="2"/>
  <c r="C199" i="2"/>
  <c r="B199" i="2"/>
  <c r="D198" i="2"/>
  <c r="C198" i="2"/>
  <c r="B198" i="2"/>
  <c r="E197" i="2"/>
  <c r="D197" i="2"/>
  <c r="C197" i="2"/>
  <c r="B197" i="2"/>
  <c r="E196" i="2"/>
  <c r="D196" i="2"/>
  <c r="C196" i="2"/>
  <c r="B196" i="2"/>
  <c r="E195" i="2"/>
  <c r="D195" i="2"/>
  <c r="C195" i="2"/>
  <c r="B195" i="2"/>
  <c r="E194" i="2"/>
  <c r="D194" i="2"/>
  <c r="C194" i="2"/>
  <c r="B194" i="2"/>
  <c r="E193" i="2"/>
  <c r="D193" i="2"/>
  <c r="C193" i="2"/>
  <c r="B193" i="2"/>
  <c r="E192" i="2"/>
  <c r="D192" i="2"/>
  <c r="C192" i="2"/>
  <c r="B192" i="2"/>
  <c r="E191" i="2"/>
  <c r="D191" i="2"/>
  <c r="C191" i="2"/>
  <c r="B191" i="2"/>
  <c r="E190" i="2"/>
  <c r="D190" i="2"/>
  <c r="C190" i="2"/>
  <c r="B190" i="2"/>
  <c r="E189" i="2"/>
  <c r="D189" i="2"/>
  <c r="C189" i="2"/>
  <c r="B189" i="2"/>
  <c r="E188" i="2"/>
  <c r="D188" i="2"/>
  <c r="C188" i="2"/>
  <c r="B188" i="2"/>
  <c r="E187" i="2"/>
  <c r="D187" i="2"/>
  <c r="C187" i="2"/>
  <c r="B187" i="2"/>
  <c r="E186" i="2"/>
  <c r="D186" i="2"/>
  <c r="C186" i="2"/>
  <c r="B186" i="2"/>
  <c r="E185" i="2"/>
  <c r="D185" i="2"/>
  <c r="C185" i="2"/>
  <c r="B185" i="2"/>
  <c r="E184" i="2"/>
  <c r="D184" i="2"/>
  <c r="C184" i="2"/>
  <c r="B184" i="2"/>
  <c r="E183" i="2"/>
  <c r="D183" i="2"/>
  <c r="C183" i="2"/>
  <c r="B183" i="2"/>
  <c r="E182" i="2"/>
  <c r="D182" i="2"/>
  <c r="C182" i="2"/>
  <c r="B182" i="2"/>
  <c r="E181" i="2"/>
  <c r="D181" i="2"/>
  <c r="C181" i="2"/>
  <c r="B181" i="2"/>
  <c r="E180" i="2"/>
  <c r="D180" i="2"/>
  <c r="C180" i="2"/>
  <c r="B180" i="2"/>
  <c r="E179" i="2"/>
  <c r="D179" i="2"/>
  <c r="C179" i="2"/>
  <c r="B179" i="2"/>
  <c r="E178" i="2"/>
  <c r="D178" i="2"/>
  <c r="C178" i="2"/>
  <c r="B178" i="2"/>
  <c r="E177" i="2"/>
  <c r="D177" i="2"/>
  <c r="C177" i="2"/>
  <c r="B177" i="2"/>
  <c r="E176" i="2"/>
  <c r="D176" i="2"/>
  <c r="C176" i="2"/>
  <c r="B176" i="2"/>
  <c r="E175" i="2"/>
  <c r="D175" i="2"/>
  <c r="C175" i="2"/>
  <c r="B175" i="2"/>
  <c r="E174" i="2"/>
  <c r="D174" i="2"/>
  <c r="C174" i="2"/>
  <c r="B174" i="2"/>
  <c r="E173" i="2"/>
  <c r="D173" i="2"/>
  <c r="C173" i="2"/>
  <c r="B173" i="2"/>
  <c r="E172" i="2"/>
  <c r="D172" i="2"/>
  <c r="C172" i="2"/>
  <c r="B172" i="2"/>
  <c r="E171" i="2"/>
  <c r="D171" i="2"/>
  <c r="C171" i="2"/>
  <c r="B171" i="2"/>
  <c r="E170" i="2"/>
  <c r="D170" i="2"/>
  <c r="C170" i="2"/>
  <c r="B170" i="2"/>
  <c r="E169" i="2"/>
  <c r="D169" i="2"/>
  <c r="C169" i="2"/>
  <c r="B169" i="2"/>
  <c r="E168" i="2"/>
  <c r="D168" i="2"/>
  <c r="C168" i="2"/>
  <c r="B168" i="2"/>
  <c r="E167" i="2"/>
  <c r="D167" i="2"/>
  <c r="C167" i="2"/>
  <c r="B167" i="2"/>
  <c r="E166" i="2"/>
  <c r="D166" i="2"/>
  <c r="C166" i="2"/>
  <c r="B166" i="2"/>
  <c r="E165" i="2"/>
  <c r="D165" i="2"/>
  <c r="C165" i="2"/>
  <c r="B165" i="2"/>
  <c r="E164" i="2"/>
  <c r="D164" i="2"/>
  <c r="C164" i="2"/>
  <c r="B164" i="2"/>
  <c r="E163" i="2"/>
  <c r="D163" i="2"/>
  <c r="C163" i="2"/>
  <c r="B163" i="2"/>
  <c r="E152" i="2"/>
  <c r="D152" i="2"/>
  <c r="C152" i="2"/>
  <c r="B152" i="2"/>
  <c r="E151" i="2"/>
  <c r="D151" i="2"/>
  <c r="C151" i="2"/>
  <c r="B151" i="2"/>
  <c r="E150" i="2"/>
  <c r="D150" i="2"/>
  <c r="C150" i="2"/>
  <c r="B150" i="2"/>
  <c r="E149" i="2"/>
  <c r="D149" i="2"/>
  <c r="C149" i="2"/>
  <c r="B149" i="2"/>
  <c r="E148" i="2"/>
  <c r="D148" i="2"/>
  <c r="C148" i="2"/>
  <c r="B148" i="2"/>
  <c r="E147" i="2"/>
  <c r="D147" i="2"/>
  <c r="C147" i="2"/>
  <c r="B147" i="2"/>
  <c r="E146" i="2"/>
  <c r="D146" i="2"/>
  <c r="C146" i="2"/>
  <c r="B146" i="2"/>
  <c r="E145" i="2"/>
  <c r="D145" i="2"/>
  <c r="C145" i="2"/>
  <c r="E144" i="2"/>
  <c r="D144" i="2"/>
  <c r="C144" i="2"/>
  <c r="B144" i="2"/>
  <c r="E143" i="2"/>
  <c r="D143" i="2"/>
  <c r="C143" i="2"/>
  <c r="B143" i="2"/>
  <c r="E142" i="2"/>
  <c r="D142" i="2"/>
  <c r="C142" i="2"/>
  <c r="B142" i="2"/>
  <c r="E141" i="2"/>
  <c r="D141" i="2"/>
  <c r="C141" i="2"/>
  <c r="B141" i="2"/>
  <c r="E140" i="2"/>
  <c r="D140" i="2"/>
  <c r="C140" i="2"/>
  <c r="B140" i="2"/>
  <c r="E139" i="2"/>
  <c r="D139" i="2"/>
  <c r="C139" i="2"/>
  <c r="B139" i="2"/>
  <c r="E154" i="2"/>
  <c r="D154" i="2"/>
  <c r="C154" i="2"/>
  <c r="B154" i="2"/>
  <c r="E138" i="2"/>
  <c r="D138" i="2"/>
  <c r="C138" i="2"/>
  <c r="B138" i="2"/>
  <c r="B457" i="2"/>
  <c r="C457" i="2"/>
  <c r="D457" i="2"/>
  <c r="E457" i="2"/>
  <c r="E137" i="2"/>
  <c r="D137" i="2"/>
  <c r="C137" i="2"/>
  <c r="B137" i="2"/>
  <c r="B458" i="2"/>
  <c r="C458" i="2"/>
  <c r="D458" i="2"/>
  <c r="E458" i="2"/>
  <c r="B459" i="2"/>
  <c r="C459" i="2"/>
  <c r="D459" i="2"/>
  <c r="E459" i="2"/>
  <c r="B460" i="2"/>
  <c r="C460" i="2"/>
  <c r="D460" i="2"/>
  <c r="E460" i="2"/>
  <c r="B461" i="2"/>
  <c r="C461" i="2"/>
  <c r="D461" i="2"/>
  <c r="E461" i="2"/>
  <c r="B462" i="2"/>
  <c r="C462" i="2"/>
  <c r="D462" i="2"/>
  <c r="E462" i="2"/>
  <c r="B463" i="2"/>
  <c r="B464" i="2"/>
  <c r="C464" i="2"/>
  <c r="D464" i="2"/>
  <c r="E464" i="2"/>
  <c r="E136" i="2"/>
  <c r="D136" i="2"/>
  <c r="C136" i="2"/>
  <c r="B136" i="2"/>
  <c r="E135" i="2"/>
  <c r="D135" i="2"/>
  <c r="C135" i="2"/>
  <c r="B135" i="2"/>
  <c r="E134" i="2"/>
  <c r="D134" i="2"/>
  <c r="C134" i="2"/>
  <c r="B134" i="2"/>
  <c r="E133" i="2"/>
  <c r="D133" i="2"/>
  <c r="C133" i="2"/>
  <c r="B133" i="2"/>
  <c r="E132" i="2"/>
  <c r="D132" i="2"/>
  <c r="C132" i="2"/>
  <c r="B132" i="2"/>
  <c r="E131" i="2"/>
  <c r="D131" i="2"/>
  <c r="C131" i="2"/>
  <c r="B131" i="2"/>
  <c r="E130" i="2"/>
  <c r="D130" i="2"/>
  <c r="C130" i="2"/>
  <c r="B130" i="2"/>
  <c r="E129" i="2"/>
  <c r="D129" i="2"/>
  <c r="C129" i="2"/>
  <c r="B129" i="2"/>
  <c r="E128" i="2"/>
  <c r="D128" i="2"/>
  <c r="C128" i="2"/>
  <c r="B128" i="2"/>
  <c r="E127" i="2"/>
  <c r="D127" i="2"/>
  <c r="C127" i="2"/>
  <c r="B127" i="2"/>
  <c r="E126" i="2"/>
  <c r="D126" i="2"/>
  <c r="C126" i="2"/>
  <c r="B126" i="2"/>
  <c r="E125" i="2"/>
  <c r="D125" i="2"/>
  <c r="C125" i="2"/>
  <c r="B125" i="2"/>
  <c r="E123" i="2"/>
  <c r="D123" i="2"/>
  <c r="C123" i="2"/>
  <c r="B123" i="2"/>
  <c r="E122" i="2"/>
  <c r="D122" i="2"/>
  <c r="C122" i="2"/>
  <c r="B122" i="2"/>
  <c r="E121" i="2"/>
  <c r="D121" i="2"/>
  <c r="C121" i="2"/>
  <c r="B121" i="2"/>
  <c r="E120" i="2"/>
  <c r="D120" i="2"/>
  <c r="C120" i="2"/>
  <c r="B120" i="2"/>
  <c r="E119" i="2"/>
  <c r="D119" i="2"/>
  <c r="C119" i="2"/>
  <c r="B119" i="2"/>
  <c r="E118" i="2"/>
  <c r="D118" i="2"/>
  <c r="C118" i="2"/>
  <c r="B118" i="2"/>
  <c r="E117" i="2"/>
  <c r="D117" i="2"/>
  <c r="C117" i="2"/>
  <c r="B117" i="2"/>
  <c r="E116" i="2"/>
  <c r="D116" i="2"/>
  <c r="C116" i="2"/>
  <c r="B116" i="2"/>
  <c r="E115" i="2"/>
  <c r="D115" i="2"/>
  <c r="C115" i="2"/>
  <c r="B115" i="2"/>
  <c r="E114" i="2"/>
  <c r="D114" i="2"/>
  <c r="C114" i="2"/>
  <c r="B114" i="2"/>
  <c r="E113" i="2"/>
  <c r="D113" i="2"/>
  <c r="C113" i="2"/>
  <c r="B113" i="2"/>
  <c r="E112" i="2"/>
  <c r="D112" i="2"/>
  <c r="C112" i="2"/>
  <c r="B112" i="2"/>
  <c r="E111" i="2"/>
  <c r="D111" i="2"/>
  <c r="C111" i="2"/>
  <c r="B111" i="2"/>
  <c r="E110" i="2"/>
  <c r="D110" i="2"/>
  <c r="C110" i="2"/>
  <c r="B110" i="2"/>
  <c r="E109" i="2"/>
  <c r="D109" i="2"/>
  <c r="C109" i="2"/>
  <c r="B109" i="2"/>
  <c r="E108" i="2"/>
  <c r="D108" i="2"/>
  <c r="C108" i="2"/>
  <c r="B108" i="2"/>
  <c r="E107" i="2"/>
  <c r="D107" i="2"/>
  <c r="C107" i="2"/>
  <c r="B107" i="2"/>
  <c r="E104" i="2"/>
  <c r="D104" i="2"/>
  <c r="C104" i="2"/>
  <c r="B104" i="2"/>
  <c r="E103" i="2"/>
  <c r="D103" i="2"/>
  <c r="C103" i="2"/>
  <c r="B103" i="2"/>
  <c r="C465" i="2"/>
  <c r="D465" i="2"/>
  <c r="E465" i="2"/>
  <c r="C466" i="2"/>
  <c r="D466" i="2"/>
  <c r="E466" i="2"/>
  <c r="C467" i="2"/>
  <c r="D467" i="2"/>
  <c r="E467" i="2"/>
  <c r="C468" i="2"/>
  <c r="D468" i="2"/>
  <c r="E468" i="2"/>
  <c r="C469" i="2"/>
  <c r="D469" i="2"/>
  <c r="E469" i="2"/>
  <c r="C470" i="2"/>
  <c r="D470" i="2"/>
  <c r="E470" i="2"/>
  <c r="C471" i="2"/>
  <c r="D471" i="2"/>
  <c r="E471" i="2"/>
  <c r="C472" i="2"/>
  <c r="D472" i="2"/>
  <c r="E472" i="2"/>
  <c r="C473" i="2"/>
  <c r="D473" i="2"/>
  <c r="E473" i="2"/>
  <c r="C474" i="2"/>
  <c r="D474" i="2"/>
  <c r="E474" i="2"/>
  <c r="C475" i="2"/>
  <c r="D475" i="2"/>
  <c r="E475" i="2"/>
  <c r="C476" i="2"/>
  <c r="D476" i="2"/>
  <c r="E476" i="2"/>
  <c r="B477" i="2"/>
  <c r="C477" i="2"/>
  <c r="D477" i="2"/>
  <c r="E477" i="2"/>
  <c r="C478" i="2"/>
  <c r="D478" i="2"/>
  <c r="E478" i="2"/>
  <c r="C479" i="2"/>
  <c r="D479" i="2"/>
  <c r="E479" i="2"/>
  <c r="E102" i="2"/>
  <c r="D102" i="2"/>
  <c r="C102" i="2"/>
  <c r="B102" i="2"/>
  <c r="E101" i="2"/>
  <c r="D101" i="2"/>
  <c r="C101" i="2"/>
  <c r="B101" i="2"/>
  <c r="E100" i="2"/>
  <c r="D100" i="2"/>
  <c r="C100" i="2"/>
  <c r="B100" i="2"/>
  <c r="B489" i="2"/>
  <c r="C489" i="2"/>
  <c r="D489" i="2"/>
  <c r="E489" i="2"/>
  <c r="B490" i="2"/>
  <c r="C490" i="2"/>
  <c r="D490" i="2"/>
  <c r="E490" i="2"/>
  <c r="B491" i="2"/>
  <c r="C491" i="2"/>
  <c r="D491" i="2"/>
  <c r="E491" i="2"/>
  <c r="B492" i="2"/>
  <c r="C492" i="2"/>
  <c r="D492" i="2"/>
  <c r="E492" i="2"/>
  <c r="B493" i="2"/>
  <c r="C493" i="2"/>
  <c r="D493" i="2"/>
  <c r="E493" i="2"/>
  <c r="B494" i="2"/>
  <c r="C494" i="2"/>
  <c r="D494" i="2"/>
  <c r="E494" i="2"/>
  <c r="B495" i="2"/>
  <c r="C495" i="2"/>
  <c r="D495" i="2"/>
  <c r="E495" i="2"/>
  <c r="B496" i="2"/>
  <c r="C496" i="2"/>
  <c r="D496" i="2"/>
  <c r="E496" i="2"/>
  <c r="B497" i="2"/>
  <c r="C497" i="2"/>
  <c r="D497" i="2"/>
  <c r="E497" i="2"/>
  <c r="B498" i="2"/>
  <c r="C498" i="2"/>
  <c r="D498" i="2"/>
  <c r="E498" i="2"/>
  <c r="B480" i="2"/>
  <c r="C480" i="2"/>
  <c r="D480" i="2"/>
  <c r="E480" i="2"/>
  <c r="B481" i="2"/>
  <c r="C481" i="2"/>
  <c r="D481" i="2"/>
  <c r="E481" i="2"/>
  <c r="B482" i="2"/>
  <c r="C482" i="2"/>
  <c r="D482" i="2"/>
  <c r="E482" i="2"/>
  <c r="B483" i="2"/>
  <c r="C483" i="2"/>
  <c r="D483" i="2"/>
  <c r="E483" i="2"/>
  <c r="B484" i="2"/>
  <c r="C484" i="2"/>
  <c r="D484" i="2"/>
  <c r="E484" i="2"/>
  <c r="B485" i="2"/>
  <c r="C485" i="2"/>
  <c r="D485" i="2"/>
  <c r="E485" i="2"/>
  <c r="B486" i="2"/>
  <c r="C486" i="2"/>
  <c r="D486" i="2"/>
  <c r="E486" i="2"/>
  <c r="B487" i="2"/>
  <c r="C487" i="2"/>
  <c r="D487" i="2"/>
  <c r="E487" i="2"/>
  <c r="B488" i="2"/>
  <c r="C488" i="2"/>
  <c r="D488" i="2"/>
  <c r="E488" i="2"/>
  <c r="E91" i="2"/>
  <c r="D91" i="2"/>
  <c r="C91" i="2"/>
  <c r="B91" i="2"/>
  <c r="E89" i="2"/>
  <c r="D89" i="2"/>
  <c r="C89" i="2"/>
  <c r="B89" i="2"/>
  <c r="E88" i="2"/>
  <c r="D88" i="2"/>
  <c r="C88" i="2"/>
  <c r="B88" i="2"/>
  <c r="E87" i="2"/>
  <c r="D87" i="2"/>
  <c r="C87" i="2"/>
  <c r="B87" i="2"/>
  <c r="E86" i="2"/>
  <c r="D86" i="2"/>
  <c r="C86" i="2"/>
  <c r="B86" i="2"/>
  <c r="E85" i="2"/>
  <c r="D85" i="2"/>
  <c r="C85" i="2"/>
  <c r="B85" i="2"/>
  <c r="E82" i="2"/>
  <c r="D82" i="2"/>
  <c r="C82" i="2"/>
  <c r="B82" i="2"/>
  <c r="E81" i="2"/>
  <c r="D81" i="2"/>
  <c r="C81" i="2"/>
  <c r="B81" i="2"/>
  <c r="E80" i="2"/>
  <c r="D80" i="2"/>
  <c r="C80" i="2"/>
  <c r="B80" i="2"/>
  <c r="E77" i="2"/>
  <c r="D77" i="2"/>
  <c r="C77" i="2"/>
  <c r="B77" i="2"/>
  <c r="E78" i="2"/>
  <c r="D78" i="2"/>
  <c r="C78" i="2"/>
  <c r="B78" i="2"/>
  <c r="B74" i="2"/>
  <c r="C74" i="2"/>
  <c r="D74" i="2"/>
  <c r="E74" i="2"/>
  <c r="B75" i="2"/>
  <c r="C75" i="2"/>
  <c r="D75" i="2"/>
  <c r="E75" i="2"/>
  <c r="B76" i="2"/>
  <c r="C76" i="2"/>
  <c r="D76" i="2"/>
  <c r="E76" i="2"/>
  <c r="B68" i="2"/>
  <c r="C68" i="2"/>
  <c r="D68" i="2"/>
  <c r="E68" i="2"/>
  <c r="B69" i="2"/>
  <c r="C69" i="2"/>
  <c r="D69" i="2"/>
  <c r="E69" i="2"/>
  <c r="B70" i="2"/>
  <c r="C70" i="2"/>
  <c r="D70" i="2"/>
  <c r="E70" i="2"/>
  <c r="B71" i="2"/>
  <c r="C71" i="2"/>
  <c r="D71" i="2"/>
  <c r="E71" i="2"/>
  <c r="B72" i="2"/>
  <c r="C72" i="2"/>
  <c r="D72" i="2"/>
  <c r="E72" i="2"/>
  <c r="B73" i="2"/>
  <c r="C73" i="2"/>
  <c r="D73" i="2"/>
  <c r="E73" i="2"/>
  <c r="B499" i="2"/>
  <c r="C499" i="2"/>
  <c r="D499" i="2"/>
  <c r="E499" i="2"/>
  <c r="B500" i="2"/>
  <c r="C500" i="2"/>
  <c r="D500" i="2"/>
  <c r="E500" i="2"/>
  <c r="B501" i="2"/>
  <c r="C501" i="2"/>
  <c r="D501" i="2"/>
  <c r="E501" i="2"/>
  <c r="B502" i="2"/>
  <c r="C502" i="2"/>
  <c r="D502" i="2"/>
  <c r="E502" i="2"/>
  <c r="B503" i="2"/>
  <c r="C503" i="2"/>
  <c r="D503" i="2"/>
  <c r="E503" i="2"/>
  <c r="B504" i="2"/>
  <c r="C504" i="2"/>
  <c r="D504" i="2"/>
  <c r="E504" i="2"/>
  <c r="B505" i="2"/>
  <c r="C505" i="2"/>
  <c r="D505" i="2"/>
  <c r="E505" i="2"/>
  <c r="B506" i="2"/>
  <c r="C506" i="2"/>
  <c r="D506" i="2"/>
  <c r="E506" i="2"/>
  <c r="E532" i="2"/>
  <c r="D532" i="2"/>
  <c r="C532" i="2"/>
  <c r="B532" i="2"/>
  <c r="E531" i="2"/>
  <c r="D531" i="2"/>
  <c r="C531" i="2"/>
  <c r="B531" i="2"/>
  <c r="E530" i="2"/>
  <c r="D530" i="2"/>
  <c r="C530" i="2"/>
  <c r="B530" i="2"/>
  <c r="E529" i="2"/>
  <c r="D529" i="2"/>
  <c r="C529" i="2"/>
  <c r="B529" i="2"/>
  <c r="E528" i="2"/>
  <c r="D528" i="2"/>
  <c r="C528" i="2"/>
  <c r="B528" i="2"/>
  <c r="E527" i="2"/>
  <c r="D527" i="2"/>
  <c r="C527" i="2"/>
  <c r="B527" i="2"/>
  <c r="E526" i="2"/>
  <c r="D526" i="2"/>
  <c r="C526" i="2"/>
  <c r="B526" i="2"/>
  <c r="E525" i="2"/>
  <c r="D525" i="2"/>
  <c r="C525" i="2"/>
  <c r="B525" i="2"/>
  <c r="E524" i="2"/>
  <c r="D524" i="2"/>
  <c r="C524" i="2"/>
  <c r="B524" i="2"/>
  <c r="E523" i="2"/>
  <c r="D523" i="2"/>
  <c r="C523" i="2"/>
  <c r="B523" i="2"/>
  <c r="E522" i="2"/>
  <c r="D522" i="2"/>
  <c r="C522" i="2"/>
  <c r="B522" i="2"/>
  <c r="E521" i="2"/>
  <c r="D521" i="2"/>
  <c r="C521" i="2"/>
  <c r="B521" i="2"/>
  <c r="E520" i="2"/>
  <c r="D520" i="2"/>
  <c r="C520" i="2"/>
  <c r="B520" i="2"/>
  <c r="E519" i="2"/>
  <c r="D519" i="2"/>
  <c r="C519" i="2"/>
  <c r="B519" i="2"/>
  <c r="E518" i="2"/>
  <c r="D518" i="2"/>
  <c r="C518" i="2"/>
  <c r="B518" i="2"/>
  <c r="E517" i="2"/>
  <c r="D517" i="2"/>
  <c r="C517" i="2"/>
  <c r="B517" i="2"/>
  <c r="E516" i="2"/>
  <c r="D516" i="2"/>
  <c r="C516" i="2"/>
  <c r="B516" i="2"/>
  <c r="E515" i="2"/>
  <c r="D515" i="2"/>
  <c r="C515" i="2"/>
  <c r="B515" i="2"/>
  <c r="E514" i="2"/>
  <c r="D514" i="2"/>
  <c r="C514" i="2"/>
  <c r="B514" i="2"/>
  <c r="E513" i="2"/>
  <c r="D513" i="2"/>
  <c r="C513" i="2"/>
  <c r="B513" i="2"/>
  <c r="E512" i="2"/>
  <c r="D512" i="2"/>
  <c r="C512" i="2"/>
  <c r="B512" i="2"/>
  <c r="E511" i="2"/>
  <c r="D511" i="2"/>
  <c r="C511" i="2"/>
  <c r="B511" i="2"/>
  <c r="E510" i="2"/>
  <c r="D510" i="2"/>
  <c r="C510" i="2"/>
  <c r="B510" i="2"/>
  <c r="E509" i="2"/>
  <c r="D509" i="2"/>
  <c r="C509" i="2"/>
  <c r="B509" i="2"/>
  <c r="E508" i="2"/>
  <c r="D508" i="2"/>
  <c r="C508" i="2"/>
  <c r="B508" i="2"/>
  <c r="E507" i="2"/>
  <c r="D507" i="2"/>
  <c r="C507" i="2"/>
  <c r="B507" i="2"/>
  <c r="B66" i="2"/>
  <c r="C66" i="2"/>
  <c r="D66" i="2"/>
  <c r="E66" i="2"/>
  <c r="B67" i="2"/>
  <c r="C67" i="2"/>
  <c r="D67" i="2"/>
  <c r="E67" i="2"/>
  <c r="B62" i="2"/>
  <c r="C62" i="2"/>
  <c r="D62" i="2"/>
  <c r="E62" i="2"/>
  <c r="B63" i="2"/>
  <c r="C63" i="2"/>
  <c r="D63" i="2"/>
  <c r="E63" i="2"/>
  <c r="B64" i="2"/>
  <c r="C64" i="2"/>
  <c r="D64" i="2"/>
  <c r="E64" i="2"/>
  <c r="B65" i="2"/>
  <c r="C65" i="2"/>
  <c r="D65" i="2"/>
  <c r="E65" i="2"/>
  <c r="E61" i="2"/>
  <c r="D61" i="2"/>
  <c r="C61" i="2"/>
  <c r="B61" i="2"/>
  <c r="E60" i="2"/>
  <c r="D60" i="2"/>
  <c r="C60" i="2"/>
  <c r="B60" i="2"/>
  <c r="E59" i="2"/>
  <c r="D59" i="2"/>
  <c r="C59" i="2"/>
  <c r="B59" i="2"/>
  <c r="B58" i="2"/>
  <c r="C58" i="2"/>
  <c r="D58" i="2"/>
  <c r="E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38" i="2"/>
  <c r="C38" i="2"/>
  <c r="D38" i="2"/>
  <c r="E38" i="2"/>
  <c r="B39" i="2"/>
  <c r="C39" i="2"/>
  <c r="D39" i="2"/>
  <c r="E39" i="2"/>
  <c r="B40" i="2"/>
  <c r="C40" i="2"/>
  <c r="D40" i="2"/>
  <c r="E40" i="2"/>
  <c r="B41" i="2"/>
  <c r="C41" i="2"/>
  <c r="D41" i="2"/>
  <c r="E41" i="2"/>
  <c r="B43" i="2"/>
  <c r="C43" i="2"/>
  <c r="D43" i="2"/>
  <c r="E43" i="2"/>
  <c r="B42" i="2"/>
  <c r="C42" i="2"/>
  <c r="D42" i="2"/>
  <c r="E42" i="2"/>
  <c r="B44" i="2"/>
  <c r="C44" i="2"/>
  <c r="D44" i="2"/>
  <c r="E44" i="2"/>
  <c r="B45" i="2"/>
  <c r="C45" i="2"/>
  <c r="D45" i="2"/>
  <c r="E45" i="2"/>
  <c r="B46" i="2"/>
  <c r="C46" i="2"/>
  <c r="D46" i="2"/>
  <c r="E46" i="2"/>
  <c r="B47" i="2"/>
  <c r="C47" i="2"/>
  <c r="D47" i="2"/>
  <c r="E47" i="2"/>
  <c r="B48" i="2"/>
  <c r="C48" i="2"/>
  <c r="D48" i="2"/>
  <c r="E48" i="2"/>
  <c r="B49" i="2"/>
  <c r="C49" i="2"/>
  <c r="D49" i="2"/>
  <c r="E49" i="2"/>
  <c r="B50" i="2"/>
  <c r="C50" i="2"/>
  <c r="D50" i="2"/>
  <c r="E50" i="2"/>
  <c r="B51" i="2"/>
  <c r="C51" i="2"/>
  <c r="D51" i="2"/>
  <c r="E51" i="2"/>
  <c r="B52" i="2"/>
  <c r="C52" i="2"/>
  <c r="D52" i="2"/>
  <c r="E52" i="2"/>
  <c r="B19" i="2"/>
  <c r="C19" i="2"/>
  <c r="D19" i="2"/>
  <c r="E19" i="2"/>
  <c r="B20" i="2"/>
  <c r="C20" i="2"/>
  <c r="D20" i="2"/>
  <c r="E20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</calcChain>
</file>

<file path=xl/sharedStrings.xml><?xml version="1.0" encoding="utf-8"?>
<sst xmlns="http://schemas.openxmlformats.org/spreadsheetml/2006/main" count="410" uniqueCount="243">
  <si>
    <t>ΚΩΔΙΚΟΣ ΕΙΔΟΥΣ</t>
  </si>
  <si>
    <t>BARCODE</t>
  </si>
  <si>
    <t>ΠΕΡΙΓΡΑΦΗ ΕΙΔΟΥΣ</t>
  </si>
  <si>
    <t>ΕΠΩΝΥΜΙΑ ΠΡΟΜΗΘΕΥΤΗ</t>
  </si>
  <si>
    <t>COSMOFARM E.E.</t>
  </si>
  <si>
    <t>JOHNSON &amp; JOHNSON ΕΛΛΑΣ Α.Ε.E</t>
  </si>
  <si>
    <t>OMEGA PHARMA HELLAS A.E.</t>
  </si>
  <si>
    <t>ΒΙΑΝ Α.Ε</t>
  </si>
  <si>
    <t>RECKITT  BENCKISER RB</t>
  </si>
  <si>
    <t>3 ΤΕΜ 15% ΕΚΠΤΩΣΗ</t>
  </si>
  <si>
    <t>2 ΤΕΜ 5% ΕΚΠΤΩΣΗ</t>
  </si>
  <si>
    <t>5 ΤΕΜ 12% ΕΚΠΤΩΣΗ</t>
  </si>
  <si>
    <t>3 ΤΕΜ 20% ΕΚΠΤΩΣΗ</t>
  </si>
  <si>
    <t>2 TEM 15%  ΕΚΠΤΩΣΗ  6 ΤΕΜ 20% ΕΚΠΤΩΣΗ</t>
  </si>
  <si>
    <t>3 TEM 12% ΕΚΠΤΩΣΗ    6 ΤΕΜ 15% ΕΚΠΤΩΣΗ</t>
  </si>
  <si>
    <t>10 TEM 30% ΕΚΠΤΩΣΗ 20 ΤΕΜ 35% ΕΚΠΤΩΣΗ</t>
  </si>
  <si>
    <t>6 ΤΕΜ 12% ΕΚΠΤΩΣΗ</t>
  </si>
  <si>
    <t>3 ΤΕΜ 14% ΕΚΠΤΩΣΗ   6 ΤΕΜ 18% ΕΚΠΤΩΣΗ</t>
  </si>
  <si>
    <t>3 ΤΕΜ 35% ΕΚΠΤΩΣΗ    6 ΤΕΜ 40% ΕΚΠΤΩΣΗ</t>
  </si>
  <si>
    <t xml:space="preserve">6 ΤΕΜ 15% ΕΚΠΤΩΣΗ   10 ΤΕΜ 20% ΕΚΠΤΩΣΗ  </t>
  </si>
  <si>
    <t>50 ΤΕΜ 15% ΕΚΠΤΩΣΗ</t>
  </si>
  <si>
    <t>5 ΤΕΜ 15% ΕΚΠΤΩΣΗ</t>
  </si>
  <si>
    <t>3 ΤΕΜ 8% ΕΚΠΤΩΣΗ    6 ΤΕΜ 12% ΕΚΠΤΩΣΗ</t>
  </si>
  <si>
    <t>2 ΤΕΜ 8% ΕΚΠΤΩΣΗ    4 ΤΕΜ 12% ΕΚΠΤΩΣΗ</t>
  </si>
  <si>
    <t>3 TΕΜ 10% ΕΚΠΤΩΣΗ</t>
  </si>
  <si>
    <t>6 ΤΕΜ 10% ΕΚΠΤΩΣΗ 12 ΤΕΜ 14% ΕΚΠΤΩΣΗ</t>
  </si>
  <si>
    <t>6 ΤΕΜ 10% ΕΚΠΤΩΣΗ 12 ΤΕΜ 20% ΕΚΠΤΩΣΗ</t>
  </si>
  <si>
    <t>2 ΤΕΜ 7% ΕΚΠΤΩΣΗ</t>
  </si>
  <si>
    <t>50 ΤΕΜ 40% ΕΚΠΤΩΣΗ</t>
  </si>
  <si>
    <t>3 ΤΕΜ 18% ΕΚΠΤΩΣΗ</t>
  </si>
  <si>
    <t>3 ΤΕΜ 8% ΕΚΠΤΩΣΗ</t>
  </si>
  <si>
    <t>3 ΤΕΜ 12% ΕΚΠΤΩΣΗ</t>
  </si>
  <si>
    <t>3 ΤΕΜ 16% ΕΚΠΤΩΣΗ</t>
  </si>
  <si>
    <t>3 ΤΕΜ 25% ΕΚΠΤΩΣΗ</t>
  </si>
  <si>
    <t>2 ΤΕΜ 30% ΕΚΠΤΩΣΗ</t>
  </si>
  <si>
    <t>3 ΤΕΜ 18% ΕΚΠΤΩΣΗ  6 ΤΕΜ 22% ΕΚΠΤΩΣΗ</t>
  </si>
  <si>
    <t>3 ΤΕΜ 26% ΕΚΠΤΩΣΗ  6 ΤΕΜ 32% ΕΚΠΤΩΣΗ 10 ΤΕΜ 36% ΕΚΠΤΩΣΗ</t>
  </si>
  <si>
    <t>5 ΤΕΜ 20% ΕΚΠΤΩΣΗ</t>
  </si>
  <si>
    <t>10 ΤΕΜ 12% ΕΚΠΤΩΣΗ</t>
  </si>
  <si>
    <t>5 ΤΕΜ 30% ΕΚΠΤΩΣΗ</t>
  </si>
  <si>
    <t>5 ΤΕΜ 34% ΕΚΠΤΩΣΗ</t>
  </si>
  <si>
    <t>3 ΤΕΜ 6% ΕΚΠΤΩΣΗ</t>
  </si>
  <si>
    <t>5 ΤΕΜ 6% ΕΚΠΤΩΣΗ</t>
  </si>
  <si>
    <t>4 ΤΕΜ 12% ΕΚΠΤΩΣΗ</t>
  </si>
  <si>
    <t>2 ΤΕΜ 12% ΕΚΠΤΩΣΗ</t>
  </si>
  <si>
    <t>3 ΤΕΜ 32% ΕΚΠΤΩΣΗ</t>
  </si>
  <si>
    <t>3 ΤΕΜ 22% ΕΚΠΤΩΣΗ</t>
  </si>
  <si>
    <t>6 ΤΕΜ 22% ΕΚΠΤΩΣΗ</t>
  </si>
  <si>
    <t>6 ΤΕΜ 24% ΕΚΠΤΩΣΗ</t>
  </si>
  <si>
    <t>6 ΤΕΜ 14% ΕΚΠΤΩΣΗ</t>
  </si>
  <si>
    <t>10 ΤΕΜ 30% ΕΚΠΤΩΣΗ</t>
  </si>
  <si>
    <t>6 ΤΕΜ 8% ΕΚΠΤΩΣΗ</t>
  </si>
  <si>
    <t>3 ΤΕΜ 10% ΕΚΠΤΩΣΗ</t>
  </si>
  <si>
    <t>3 ΤΕΜ 7% ΕΚΠΤΩΣΗ</t>
  </si>
  <si>
    <t>12 ΤΕΜ 35% ΕΚΠΤΩΣΗ</t>
  </si>
  <si>
    <t>12 ΤΕΜ 12% ΕΚΠΤΩΣΗ</t>
  </si>
  <si>
    <t>6 ΤΕΜ 12% ΕΚΠΤΩΣΗ    12 ΤΕΜ 18% ΕΚΠΤΩΣΗ</t>
  </si>
  <si>
    <t>6 ΤΕΜ 31% ΕΚΠΤΩΣΗ</t>
  </si>
  <si>
    <t xml:space="preserve">2 ΤΕΜ 8% ΕΚΠΤΩΣΗ </t>
  </si>
  <si>
    <t>12 ΤΕΜ 25% ΕΚΠΤΩΣΗ</t>
  </si>
  <si>
    <t>2 ΤΕΜ 25% ΕΚΠΤΩΣΗ</t>
  </si>
  <si>
    <t>6 ΤΕΜ 28% ΕΚΠΤΩΣΗ</t>
  </si>
  <si>
    <t xml:space="preserve">3 ΤΕΜ 18% ΕΚΠΤΩΣΗ  </t>
  </si>
  <si>
    <t>3 ΤΕΜ 24% ΕΚΠΤΩΣΗ</t>
  </si>
  <si>
    <t>5 ΤΕΜ 25% ΕΚΠΤΩΣΗ</t>
  </si>
  <si>
    <t>5 ΤΕΜ  35% ΕΚΠΤΩΣΗ</t>
  </si>
  <si>
    <t xml:space="preserve">3 ΤΕΜ 35% ΕΚΠΤΩΣΗ  </t>
  </si>
  <si>
    <t>3 ΤΕΜ 30% ΕΚΠΤΩΣΗ</t>
  </si>
  <si>
    <t>10 ΤΕΜ 35% ΕΚΠΤΩΣΗ</t>
  </si>
  <si>
    <t>50 ΤΕΜ 35% ΕΚΠΤΩΣΗ</t>
  </si>
  <si>
    <t>5 ΤΕΜ 8% ΕΚΠΤΩΣΗ</t>
  </si>
  <si>
    <t>6 ΤΕΜ 9% ΕΚΠΤΩΣΗ</t>
  </si>
  <si>
    <t>5 ΤΕΜ 10% ΕΚΠΤΩΣΗ</t>
  </si>
  <si>
    <t>2 ΤΕΜ 15% ΕΚΠΤΩΣΗ</t>
  </si>
  <si>
    <t>5 ΤΕΜ 35% ΕΚΠΤΩΣΗ</t>
  </si>
  <si>
    <t>3 ΤΕΜ 8%  ΕΚΠΤΩΣΗ</t>
  </si>
  <si>
    <t>5 ΤΕΜ 40% ΕΚΠΤΩΣΗ</t>
  </si>
  <si>
    <t>6 ΤΕΜ 40% ΕΚΠΤΩΣΗ</t>
  </si>
  <si>
    <t>6 ΤΕΜ 25% ΕΚΠΤΩΣΗ 10 ΤΕΜ 30% ΕΚΠΤΩΣΗ</t>
  </si>
  <si>
    <t>10 ΤΕΜ 40% ΕΚΠΤΩΣΗ</t>
  </si>
  <si>
    <t>6 ΤΕΜ 7% ΕΚΠΤΩΣΗ</t>
  </si>
  <si>
    <t>6 ΤΕΜ 15% ΕΚΠΤΩΣΗ</t>
  </si>
  <si>
    <t>4 ΤΕΜ 8% ΕΚΠΤΩΣΗ    6 ΤΕΜ 12% ΕΚΠΤΩΣΗ</t>
  </si>
  <si>
    <t xml:space="preserve">3 ΤΕΜ 14% ΕΚΠΤΩΣΗ </t>
  </si>
  <si>
    <t>4 ΤΕΜ 3% ΕΚΠΤΩΣΗ</t>
  </si>
  <si>
    <t>ΣΥΝΔΕΣΜΟΣ Α.Ε.</t>
  </si>
  <si>
    <t>20 ΤΕΜ 7% ΕΚΠΤΩΣΗ</t>
  </si>
  <si>
    <t>10 ΤΕΜ 8% ΕΚΠΤΩΣΗ</t>
  </si>
  <si>
    <t>BAUSCH HEALTH HELLAS ΜΟΝ. Α.Φ.Ε.</t>
  </si>
  <si>
    <t>ΚΑΤΑΛΟΓΟΣ ΠΑΡΑΦΑΡΜΑΚΩΝ</t>
  </si>
  <si>
    <t>81325</t>
  </si>
  <si>
    <t>8605039109445</t>
  </si>
  <si>
    <t>ΜΑΣΚΑ 3PLY IIR ΧΕΙΡ/ΚΗ  50 ΤΜΧ. HUBEI SUNRISE</t>
  </si>
  <si>
    <t>78145</t>
  </si>
  <si>
    <t>6973443180087</t>
  </si>
  <si>
    <t>ΜΑΣΚΑ FFP2 NR 5 ΣΤΡΩΜ. ΑΣΠΡΗ x1 ΤΕΜ. CE0598</t>
  </si>
  <si>
    <t>87606</t>
  </si>
  <si>
    <t>5208760611114</t>
  </si>
  <si>
    <t>ΜΑΣΚΑ FFP2 NR 5 ΣΤΡΩΜ. ΑΣΠΡΗ x5 TEM. CE0598 CONNEXIONS</t>
  </si>
  <si>
    <t>107726</t>
  </si>
  <si>
    <t>6973083140366</t>
  </si>
  <si>
    <t>ΜΑΣΚΑ FFP2 NR 5 ΣΤΡΩΜ. ΜΑΥΡΗ x1 ΤΕΜ. CE 0598 DVOT</t>
  </si>
  <si>
    <t>73984</t>
  </si>
  <si>
    <t>6973220170010</t>
  </si>
  <si>
    <t>ΜΑΣΚΑ FFP3 NR YD-003 ΦΑΚΕΛΑΚΙ 5 TEM. CE0370</t>
  </si>
  <si>
    <t>ADAMS PHARM ΕΜΠΟΡΙΚΗ Α.Ε.</t>
  </si>
  <si>
    <t>57107</t>
  </si>
  <si>
    <t>4211125454319</t>
  </si>
  <si>
    <t>ΟΞΥΜΕΤΡΟ ΔΑΚΤΥΛΟΥ BEURER PO30</t>
  </si>
  <si>
    <t>68385</t>
  </si>
  <si>
    <t>6945040100188</t>
  </si>
  <si>
    <t>ΟΞΥΜΕΤΡΟ ΠΑΛΜΙΚΟ CONTEC CMS50D</t>
  </si>
  <si>
    <t>ΛΕΟΥΣΗΣ Γ. Α.Ε.</t>
  </si>
  <si>
    <t>3865</t>
  </si>
  <si>
    <t>4015672104877</t>
  </si>
  <si>
    <t>ΘΕΡΜΟΜΕΤΡΟ OMRON ECO TEMP BASIC ΨΗΦΙΑΚΟ 60''</t>
  </si>
  <si>
    <t>53285</t>
  </si>
  <si>
    <t>4015672113466</t>
  </si>
  <si>
    <t>ΠΙΕΣΟΜΕΤΡΟ OMRON M2 ΜΠΡΑΤΣΟΥ BASIC 5 ΧΡΟΝΙΑ ΕΓΓΥΗΣΗ</t>
  </si>
  <si>
    <t>53305</t>
  </si>
  <si>
    <t>4015672111110</t>
  </si>
  <si>
    <t>ΠΙΕΣΟΜΕΤΡΟ OMRON RS2 ΚΑΡΠΟΥ 5 ΧΡΟΝΙΑ ΕΓΓΥΗΣΗ</t>
  </si>
  <si>
    <t>ΠΑΡΑΤΗΡΗΣΕΙΣ</t>
  </si>
  <si>
    <t>ΕΚΠΤΩΣΗ</t>
  </si>
  <si>
    <t>ΠΟΣΟΤΗΤΑ</t>
  </si>
  <si>
    <t>104185</t>
  </si>
  <si>
    <t>6921756492274</t>
  </si>
  <si>
    <t>FLOWFLEX ANTIGEN SARS COV 19 25TEM ΡΙΝΙΚΟ</t>
  </si>
  <si>
    <t>100986</t>
  </si>
  <si>
    <t>6936020115186</t>
  </si>
  <si>
    <t>SINGCLEAN ANTIGEN COVID-19 RAPID TEST 1TEM ΡΙΝΙΚΟ CE1434</t>
  </si>
  <si>
    <t>3 ΤΕΜ 18% ΕΚΠΤΩΣΗ   6 ΤΕΜ 22% ΕΚΠΤΩΣΗ</t>
  </si>
  <si>
    <t xml:space="preserve">10 ΤΕΜ 15% ΕΚΠΤΩΣΗ    </t>
  </si>
  <si>
    <t>3 ΤΕΜ 20% ΕΚΠΤΩΣΗ   6 ΤΕΜ 25% ΕΚΠΤΩΣΗ  12 ΤΕΜ 30% ΕΚΠΤΩΣΗ</t>
  </si>
  <si>
    <t>10 ΤΕΜ 15% ΕΚΠΤΩΣΗ  20 ΤΕΜ 18% ΕΚΠΤΩΣΗ</t>
  </si>
  <si>
    <t>6 ΤΕΜ 10% ΕΚΠΤΩΣΗ</t>
  </si>
  <si>
    <t>3 ΤΕΜ. 25% ΕΚΠΤΩΣΗ</t>
  </si>
  <si>
    <t xml:space="preserve">ΕΜΠΟΡΙΚΗ ΠΟΛΙΤΙΚΗ ΠΡΟΣΦΟΡΑΣ </t>
  </si>
  <si>
    <t>ΤΡΟΠΟΣ ΠΛΗΡΩΜΗΣ :</t>
  </si>
  <si>
    <t xml:space="preserve">ΑΝΤΙΚΑΤΑΒΟΛΗ ΕΠΙΤΑΓΗ 60 ΗΜΕΡΩΝ </t>
  </si>
  <si>
    <t xml:space="preserve">ΜΕΤΡΗΤΑ +1% ΕΚΠΤΩΣΗ </t>
  </si>
  <si>
    <t>ΕΛΑΧΙΣΤΗ ΑΞΙΑ ΠΑΡΑΓΓΕΛΙΑΣ  : 300€</t>
  </si>
  <si>
    <t>Η προσφορά ισχύει μέχρις εξαντλήσεως των αποθεμάτων ή αντικατάστασής της με νέα.</t>
  </si>
  <si>
    <t>Για την εκτέλεσή της χρειαζόμαστε τρείς (3)  εργάσιμες ημέρες.</t>
  </si>
  <si>
    <t xml:space="preserve">Την προσφορά μπορείτε να  την αποστείλετε  με email στο offers@cosmofarm.gr ,ή  να την δώσετε </t>
  </si>
  <si>
    <t xml:space="preserve">στον συνεργάτη που σας εξυπηρετεί. </t>
  </si>
  <si>
    <t>Για οποιαδήποτε πληροφορία σχετικά με την προσφορά φαρμάκου και ΜΗ.ΣΥ.ΦΑ  μπορείτε να  επικοινωνήσετε</t>
  </si>
  <si>
    <t xml:space="preserve">στο τηλέφωνο 211 211 2270 εσ. 431  (Μιχάλης Σεϊρλής ) </t>
  </si>
  <si>
    <t xml:space="preserve">Για οποιαδήποτε πληροφορία σχετικά με την προσφορά παραφαρμάκου μπορείτε να επκοινωνήσετε στο </t>
  </si>
  <si>
    <t xml:space="preserve">τηλέφωνο  211 211 2270 εσ.432 ( Αλέκος Μαγγίνης)  </t>
  </si>
  <si>
    <t>Οι τιμές μπορεί να αλλάξουν απροειδοποίητα, ακολουθούν τους εκάστοτε τιμοκαταλόγους των εταιρειών.</t>
  </si>
  <si>
    <t xml:space="preserve">                   </t>
  </si>
  <si>
    <t>ΧΟΝΔΡ.ΤΙΜΗ</t>
  </si>
  <si>
    <t>ΕΛΑΧΙΣΤΟ ΟΡΙΟ ΠΑΡΑΓΓΕΛΙΑΣ  300,00€</t>
  </si>
  <si>
    <t>ΤΕΛ.ΤΙΜΗ</t>
  </si>
  <si>
    <t>OPELLA HEALTHCARE GREECE M.ΕΠΕ</t>
  </si>
  <si>
    <t>PHYTOBISOLVON SYROP 180ML(ΞΗΡΟΣ -ΠΑΡΑΓ.ΒΗΧΑΣ)</t>
  </si>
  <si>
    <t>12 TEM 12% ΕΚΠΤΩΣΗ  24 ΤΕΜ 15% ΕΚΠΤΩΣΗ</t>
  </si>
  <si>
    <t>LANES ECHINACEA+VIT.C ΜΕΛΙ ΛΕΜΟΝΙ  EFF. 20TABS</t>
  </si>
  <si>
    <t>LANES DEFENSE BOOSTER 20 EFF. TABS</t>
  </si>
  <si>
    <t>LANES MULT. DAILY ONE EFF.TABL.x20 ΠΟΡΤΟΚΑΛΙ</t>
  </si>
  <si>
    <t>LANES MULT. XTRA ENERGY 20 EFF.TABS.</t>
  </si>
  <si>
    <t>LANES VIT.C+ZINC EFF.TABL. 20x500MG LEMON</t>
  </si>
  <si>
    <t>LANES VIT.C TABL. 30x1000MG</t>
  </si>
  <si>
    <t>ΣΑΡΑΝΤΗΣ ΓΡ. ΑΒΕΕ</t>
  </si>
  <si>
    <t>005987</t>
  </si>
  <si>
    <t>5201314047438</t>
  </si>
  <si>
    <t>02082</t>
  </si>
  <si>
    <t>5201314047353</t>
  </si>
  <si>
    <t>LANES VIT.C EFF.TABL. 20x1000MG ΠΟΡΤΟΚΑΛΙ</t>
  </si>
  <si>
    <t>118367</t>
  </si>
  <si>
    <t>5201314160755</t>
  </si>
  <si>
    <t>5201314047414</t>
  </si>
  <si>
    <t>5201314047407</t>
  </si>
  <si>
    <t>03511</t>
  </si>
  <si>
    <t>5201314047384</t>
  </si>
  <si>
    <t>6121</t>
  </si>
  <si>
    <t>5201314047490</t>
  </si>
  <si>
    <t>054259</t>
  </si>
  <si>
    <t>5201314047391</t>
  </si>
  <si>
    <t>LANES VIT.C+GINCENG EFF.TABL.20x1000MG LEMON</t>
  </si>
  <si>
    <t>ΛΗΞΗ 01/2023</t>
  </si>
  <si>
    <t>6 ΤΕΜ 12% ΕΚΠΤΩΣΗ 12 ΤΕΜ 15% ΕΚΠΤΩΣΗ 24 ΤΕΜ 18% ΕΚΠΤΩΣΗ</t>
  </si>
  <si>
    <t>6 ΤΕΜ 10% ΕΚΠΤΩΣΗ 12 ΤΕΜ 12% ΕΚΠΤΩΣΗ 18 ΤΕΜ 15% ΕΚΠΤΩΣΗ</t>
  </si>
  <si>
    <t>LAXANEY PREBIO FAMILY 60 GUMMIES</t>
  </si>
  <si>
    <t>3 ΤΕΜ. 14% ΕΚΠΤΩΣΗ</t>
  </si>
  <si>
    <t>ΔΕΚΕΜΒΡΙΟΥ  2022</t>
  </si>
  <si>
    <t>80645</t>
  </si>
  <si>
    <t>3830070471519</t>
  </si>
  <si>
    <t>ARTELAC NASAL ECTOIN SPRAY 2%</t>
  </si>
  <si>
    <t>120925</t>
  </si>
  <si>
    <t>5397258000414</t>
  </si>
  <si>
    <t>ARTELAC OTIC DROPS 7G</t>
  </si>
  <si>
    <t>4054596535428</t>
  </si>
  <si>
    <t>5200309851586</t>
  </si>
  <si>
    <t>BEPANTHOL ANTI-WRINKLE ΠΡΟΣ.ΜΑΤ.ΛΑΙΜ.50ML+ ΝΕΣΕΣΕΡ ΔΩΡΟ ΓΑΛΑΚΤ. ΣΩΜΑΤΟΣ</t>
  </si>
  <si>
    <t>13400</t>
  </si>
  <si>
    <t>5200309852118</t>
  </si>
  <si>
    <t>PRIORIN EXTRA 30 CAPS STICKER -20%</t>
  </si>
  <si>
    <t>52223</t>
  </si>
  <si>
    <t>79145</t>
  </si>
  <si>
    <t>8056860820083</t>
  </si>
  <si>
    <t>DUREX INVISIBLE EXTRA SENSITIVE 12TEM</t>
  </si>
  <si>
    <t>53943</t>
  </si>
  <si>
    <t>300651509304</t>
  </si>
  <si>
    <t>SYSTANE COMPLETE 10ML</t>
  </si>
  <si>
    <t>92225</t>
  </si>
  <si>
    <t>8032668872257</t>
  </si>
  <si>
    <t>EYE GEL PLUS 10G</t>
  </si>
  <si>
    <t>0738</t>
  </si>
  <si>
    <t>3577056025419</t>
  </si>
  <si>
    <t>ELUDRIL ΣΤΟΜΑΤΙΚΟ ΔΙΑΛΥΜΑ 200ML</t>
  </si>
  <si>
    <t>BAYER ΕΛΛΑΣ Α.Β.Ε.Ε.</t>
  </si>
  <si>
    <t>119265</t>
  </si>
  <si>
    <t>5200309851951</t>
  </si>
  <si>
    <t>BEPANTHENE HYDROGEL 4 IN 1 50GR ΕΠΟΥΛΩΣΗ ΠΛΗΓΩΝ</t>
  </si>
  <si>
    <t>GLAXOSMITHKLINE ΚΑΤΑΝΑΛΩΤΙΚΑ ΠΡΟΪΟΝΤΑ ΥΓΕΙΑΣ ΕΛΛΑΣ Α.Ε.</t>
  </si>
  <si>
    <t>5500</t>
  </si>
  <si>
    <t>5205396095646</t>
  </si>
  <si>
    <t>CENTRUM WOMEN TABL. x30</t>
  </si>
  <si>
    <t>118566</t>
  </si>
  <si>
    <t>5054563123671</t>
  </si>
  <si>
    <t>CENTRUM IMMUNITY ELDERBERRY 60 CAPS</t>
  </si>
  <si>
    <t>118565</t>
  </si>
  <si>
    <t>5054563121905</t>
  </si>
  <si>
    <t>CENTRUM IMMUNITY VIT. C MAX 14 SACHTES</t>
  </si>
  <si>
    <t>LIBYTEC ΦΑΡΜΑΚΕΥΤΙΚΗ A.E.</t>
  </si>
  <si>
    <t>72848</t>
  </si>
  <si>
    <t>5214001007066</t>
  </si>
  <si>
    <t>COMBISHIELD CAPS x15</t>
  </si>
  <si>
    <t>MEDICAL PHARMAQUALITY A.E.</t>
  </si>
  <si>
    <t>0540605</t>
  </si>
  <si>
    <t>5200120390011</t>
  </si>
  <si>
    <t>OCTONION SYRUP FOR ADULTS 200ML</t>
  </si>
  <si>
    <t>0540630</t>
  </si>
  <si>
    <t>5200120390028</t>
  </si>
  <si>
    <t>OCTONION SYRUP FOR KIDS 200ML</t>
  </si>
  <si>
    <t>6 TEM. 36% ΕΚΠΤΩΣΗ</t>
  </si>
  <si>
    <t>BIONAT Ι.Κ.Ε.</t>
  </si>
  <si>
    <t>58647</t>
  </si>
  <si>
    <t>5206856000071</t>
  </si>
  <si>
    <t>MEMOVIGOR 2 TABL. 20x900MG</t>
  </si>
  <si>
    <t>3 TEM  18% ΕΚΠΤΩΣΗ 6 ΤΕΜ. 21% ΕΚΠΤΩΣΗ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</si>
</sst>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0000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  <font>
      <sz val="11"/>
      <color theme="1"/>
      <name val="Calibri Light"/>
      <family val="2"/>
      <charset val="161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1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/>
    <xf numFmtId="0" fontId="16" fillId="0" borderId="10" xfId="0" applyFont="1" applyBorder="1"/>
    <xf numFmtId="8" fontId="16" fillId="0" borderId="10" xfId="0" applyNumberFormat="1" applyFont="1" applyBorder="1"/>
    <xf numFmtId="10" fontId="16" fillId="0" borderId="10" xfId="0" applyNumberFormat="1" applyFont="1" applyBorder="1"/>
    <xf numFmtId="0" fontId="16" fillId="0" borderId="11" xfId="0" applyFont="1" applyBorder="1"/>
    <xf numFmtId="0" fontId="16" fillId="0" borderId="12" xfId="0" applyFont="1" applyBorder="1"/>
    <xf numFmtId="8" fontId="16" fillId="0" borderId="12" xfId="0" applyNumberFormat="1" applyFont="1" applyBorder="1"/>
    <xf numFmtId="10" fontId="16" fillId="0" borderId="12" xfId="0" applyNumberFormat="1" applyFont="1" applyBorder="1"/>
    <xf numFmtId="0" fontId="16" fillId="0" borderId="14" xfId="0" applyFont="1" applyBorder="1"/>
    <xf numFmtId="0" fontId="16" fillId="0" borderId="16" xfId="0" applyFont="1" applyBorder="1"/>
    <xf numFmtId="0" fontId="16" fillId="0" borderId="17" xfId="0" applyFont="1" applyBorder="1"/>
    <xf numFmtId="8" fontId="16" fillId="0" borderId="17" xfId="0" applyNumberFormat="1" applyFont="1" applyBorder="1"/>
    <xf numFmtId="10" fontId="16" fillId="0" borderId="17" xfId="0" applyNumberFormat="1" applyFont="1" applyBorder="1"/>
    <xf numFmtId="0" fontId="16" fillId="0" borderId="19" xfId="0" applyFont="1" applyBorder="1"/>
    <xf numFmtId="0" fontId="16" fillId="0" borderId="20" xfId="0" applyFont="1" applyBorder="1"/>
    <xf numFmtId="10" fontId="16" fillId="0" borderId="20" xfId="0" applyNumberFormat="1" applyFont="1" applyBorder="1"/>
    <xf numFmtId="0" fontId="0" fillId="0" borderId="10" xfId="0" applyBorder="1"/>
    <xf numFmtId="8" fontId="0" fillId="0" borderId="10" xfId="0" applyNumberFormat="1" applyBorder="1"/>
    <xf numFmtId="10" fontId="0" fillId="0" borderId="10" xfId="0" applyNumberFormat="1" applyBorder="1"/>
    <xf numFmtId="0" fontId="0" fillId="0" borderId="11" xfId="0" applyBorder="1"/>
    <xf numFmtId="0" fontId="0" fillId="0" borderId="12" xfId="0" applyBorder="1"/>
    <xf numFmtId="8" fontId="0" fillId="0" borderId="12" xfId="0" applyNumberFormat="1" applyBorder="1"/>
    <xf numFmtId="10" fontId="0" fillId="0" borderId="12" xfId="0" applyNumberFormat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8" fontId="0" fillId="0" borderId="17" xfId="0" applyNumberFormat="1" applyBorder="1"/>
    <xf numFmtId="10" fontId="0" fillId="0" borderId="17" xfId="0" applyNumberFormat="1" applyBorder="1"/>
    <xf numFmtId="0" fontId="0" fillId="0" borderId="19" xfId="0" applyBorder="1"/>
    <xf numFmtId="0" fontId="0" fillId="0" borderId="20" xfId="0" applyBorder="1"/>
    <xf numFmtId="8" fontId="0" fillId="0" borderId="20" xfId="0" applyNumberFormat="1" applyBorder="1"/>
    <xf numFmtId="10" fontId="0" fillId="0" borderId="20" xfId="0" applyNumberFormat="1" applyBorder="1"/>
    <xf numFmtId="0" fontId="0" fillId="0" borderId="15" xfId="0" applyBorder="1"/>
    <xf numFmtId="0" fontId="0" fillId="0" borderId="18" xfId="0" applyBorder="1"/>
    <xf numFmtId="0" fontId="0" fillId="0" borderId="13" xfId="0" applyBorder="1"/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16" fillId="0" borderId="26" xfId="0" applyFont="1" applyBorder="1"/>
    <xf numFmtId="0" fontId="0" fillId="0" borderId="26" xfId="0" applyBorder="1"/>
    <xf numFmtId="0" fontId="0" fillId="0" borderId="25" xfId="0" applyBorder="1"/>
    <xf numFmtId="8" fontId="0" fillId="0" borderId="25" xfId="0" applyNumberFormat="1" applyBorder="1"/>
    <xf numFmtId="10" fontId="0" fillId="0" borderId="25" xfId="0" applyNumberFormat="1" applyBorder="1"/>
    <xf numFmtId="0" fontId="16" fillId="0" borderId="13" xfId="0" applyFont="1" applyBorder="1"/>
    <xf numFmtId="0" fontId="16" fillId="0" borderId="15" xfId="0" applyFont="1" applyBorder="1"/>
    <xf numFmtId="0" fontId="16" fillId="0" borderId="18" xfId="0" applyFont="1" applyBorder="1"/>
    <xf numFmtId="0" fontId="16" fillId="0" borderId="25" xfId="0" applyFont="1" applyBorder="1"/>
    <xf numFmtId="10" fontId="16" fillId="0" borderId="25" xfId="0" applyNumberFormat="1" applyFont="1" applyBorder="1"/>
    <xf numFmtId="0" fontId="16" fillId="0" borderId="24" xfId="0" applyFont="1" applyBorder="1"/>
    <xf numFmtId="10" fontId="16" fillId="0" borderId="24" xfId="0" applyNumberFormat="1" applyFont="1" applyBorder="1"/>
    <xf numFmtId="0" fontId="16" fillId="0" borderId="32" xfId="0" applyFont="1" applyBorder="1"/>
    <xf numFmtId="0" fontId="16" fillId="0" borderId="33" xfId="0" applyFont="1" applyBorder="1"/>
    <xf numFmtId="10" fontId="16" fillId="0" borderId="33" xfId="0" applyNumberFormat="1" applyFont="1" applyBorder="1"/>
    <xf numFmtId="0" fontId="16" fillId="0" borderId="34" xfId="0" applyFont="1" applyBorder="1"/>
    <xf numFmtId="0" fontId="16" fillId="0" borderId="35" xfId="0" applyFont="1" applyBorder="1"/>
    <xf numFmtId="0" fontId="0" fillId="0" borderId="21" xfId="0" applyBorder="1"/>
    <xf numFmtId="0" fontId="0" fillId="0" borderId="35" xfId="0" applyBorder="1"/>
    <xf numFmtId="0" fontId="0" fillId="0" borderId="36" xfId="0" applyBorder="1"/>
    <xf numFmtId="0" fontId="16" fillId="0" borderId="37" xfId="0" applyFont="1" applyBorder="1"/>
    <xf numFmtId="0" fontId="16" fillId="0" borderId="28" xfId="0" applyFont="1" applyBorder="1"/>
    <xf numFmtId="0" fontId="0" fillId="0" borderId="32" xfId="0" applyBorder="1"/>
    <xf numFmtId="0" fontId="0" fillId="0" borderId="33" xfId="0" applyBorder="1"/>
    <xf numFmtId="8" fontId="0" fillId="0" borderId="33" xfId="0" applyNumberFormat="1" applyBorder="1"/>
    <xf numFmtId="10" fontId="0" fillId="0" borderId="33" xfId="0" applyNumberFormat="1" applyBorder="1"/>
    <xf numFmtId="0" fontId="0" fillId="0" borderId="28" xfId="0" applyBorder="1" applyAlignment="1">
      <alignment vertical="center"/>
    </xf>
    <xf numFmtId="0" fontId="16" fillId="0" borderId="41" xfId="0" applyFont="1" applyBorder="1"/>
    <xf numFmtId="0" fontId="16" fillId="0" borderId="31" xfId="0" applyFont="1" applyBorder="1"/>
    <xf numFmtId="8" fontId="16" fillId="0" borderId="31" xfId="0" applyNumberFormat="1" applyFont="1" applyBorder="1"/>
    <xf numFmtId="10" fontId="16" fillId="0" borderId="31" xfId="0" applyNumberFormat="1" applyFont="1" applyBorder="1"/>
    <xf numFmtId="0" fontId="16" fillId="0" borderId="27" xfId="0" applyFont="1" applyBorder="1"/>
    <xf numFmtId="0" fontId="0" fillId="0" borderId="40" xfId="0" applyBorder="1"/>
    <xf numFmtId="0" fontId="0" fillId="0" borderId="37" xfId="0" applyBorder="1"/>
    <xf numFmtId="0" fontId="0" fillId="0" borderId="24" xfId="0" applyBorder="1"/>
    <xf numFmtId="8" fontId="0" fillId="0" borderId="24" xfId="0" applyNumberFormat="1" applyBorder="1"/>
    <xf numFmtId="10" fontId="0" fillId="0" borderId="24" xfId="0" applyNumberFormat="1" applyBorder="1"/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0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10" fontId="16" fillId="0" borderId="33" xfId="0" applyNumberFormat="1" applyFont="1" applyBorder="1" applyAlignment="1">
      <alignment vertical="center"/>
    </xf>
    <xf numFmtId="0" fontId="16" fillId="0" borderId="34" xfId="0" applyFont="1" applyBorder="1" applyAlignment="1">
      <alignment vertical="center" wrapText="1"/>
    </xf>
    <xf numFmtId="0" fontId="0" fillId="0" borderId="39" xfId="0" applyBorder="1"/>
    <xf numFmtId="0" fontId="0" fillId="0" borderId="41" xfId="0" applyBorder="1"/>
    <xf numFmtId="0" fontId="0" fillId="0" borderId="31" xfId="0" applyBorder="1"/>
    <xf numFmtId="8" fontId="0" fillId="0" borderId="31" xfId="0" applyNumberFormat="1" applyBorder="1"/>
    <xf numFmtId="10" fontId="0" fillId="0" borderId="31" xfId="0" applyNumberFormat="1" applyBorder="1"/>
    <xf numFmtId="0" fontId="0" fillId="0" borderId="27" xfId="0" applyBorder="1"/>
    <xf numFmtId="0" fontId="16" fillId="0" borderId="25" xfId="0" applyFont="1" applyBorder="1" applyAlignment="1">
      <alignment vertical="center"/>
    </xf>
    <xf numFmtId="10" fontId="16" fillId="0" borderId="25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0" fillId="0" borderId="34" xfId="0" applyBorder="1"/>
    <xf numFmtId="0" fontId="16" fillId="0" borderId="43" xfId="0" applyFont="1" applyBorder="1"/>
    <xf numFmtId="0" fontId="0" fillId="0" borderId="44" xfId="0" applyBorder="1"/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28" xfId="0" applyBorder="1"/>
    <xf numFmtId="0" fontId="16" fillId="0" borderId="3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16" fillId="0" borderId="46" xfId="0" applyFont="1" applyBorder="1"/>
    <xf numFmtId="0" fontId="16" fillId="0" borderId="47" xfId="0" applyFont="1" applyBorder="1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2" fillId="0" borderId="0" xfId="0" applyFont="1" applyAlignment="1">
      <alignment vertical="center"/>
    </xf>
    <xf numFmtId="164" fontId="0" fillId="0" borderId="0" xfId="0" applyNumberFormat="1" applyAlignment="1">
      <alignment vertical="top" wrapText="1"/>
    </xf>
    <xf numFmtId="164" fontId="22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left" vertical="top" wrapText="1"/>
    </xf>
    <xf numFmtId="164" fontId="2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6" fillId="0" borderId="48" xfId="0" applyFont="1" applyBorder="1"/>
    <xf numFmtId="0" fontId="16" fillId="0" borderId="49" xfId="0" applyFont="1" applyBorder="1"/>
    <xf numFmtId="0" fontId="16" fillId="0" borderId="50" xfId="0" applyFont="1" applyBorder="1"/>
    <xf numFmtId="0" fontId="0" fillId="0" borderId="49" xfId="0" applyBorder="1"/>
    <xf numFmtId="0" fontId="0" fillId="0" borderId="50" xfId="0" applyBorder="1"/>
    <xf numFmtId="0" fontId="0" fillId="0" borderId="43" xfId="0" applyBorder="1"/>
    <xf numFmtId="0" fontId="16" fillId="0" borderId="39" xfId="0" applyFont="1" applyBorder="1"/>
    <xf numFmtId="0" fontId="16" fillId="0" borderId="38" xfId="0" applyFont="1" applyBorder="1"/>
    <xf numFmtId="0" fontId="0" fillId="0" borderId="48" xfId="0" applyBorder="1"/>
    <xf numFmtId="0" fontId="16" fillId="0" borderId="26" xfId="0" applyFont="1" applyBorder="1" applyAlignment="1">
      <alignment vertical="center"/>
    </xf>
    <xf numFmtId="0" fontId="16" fillId="0" borderId="40" xfId="0" applyFont="1" applyBorder="1"/>
    <xf numFmtId="0" fontId="0" fillId="0" borderId="38" xfId="0" applyBorder="1"/>
    <xf numFmtId="0" fontId="16" fillId="0" borderId="43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9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45" xfId="0" applyFont="1" applyBorder="1"/>
    <xf numFmtId="0" fontId="16" fillId="0" borderId="51" xfId="0" applyFont="1" applyBorder="1"/>
    <xf numFmtId="0" fontId="0" fillId="0" borderId="52" xfId="0" applyBorder="1"/>
    <xf numFmtId="0" fontId="0" fillId="0" borderId="51" xfId="0" applyBorder="1"/>
    <xf numFmtId="0" fontId="16" fillId="0" borderId="52" xfId="0" applyFont="1" applyBorder="1"/>
    <xf numFmtId="0" fontId="0" fillId="0" borderId="42" xfId="0" applyBorder="1"/>
    <xf numFmtId="0" fontId="0" fillId="33" borderId="22" xfId="0" applyFill="1" applyBorder="1"/>
    <xf numFmtId="0" fontId="0" fillId="33" borderId="23" xfId="0" applyFill="1" applyBorder="1"/>
    <xf numFmtId="0" fontId="0" fillId="0" borderId="37" xfId="0" applyBorder="1" applyAlignment="1">
      <alignment vertical="center"/>
    </xf>
    <xf numFmtId="8" fontId="0" fillId="0" borderId="24" xfId="0" applyNumberFormat="1" applyBorder="1" applyAlignment="1">
      <alignment vertical="center"/>
    </xf>
    <xf numFmtId="10" fontId="0" fillId="0" borderId="24" xfId="0" applyNumberForma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10" fontId="16" fillId="0" borderId="17" xfId="0" applyNumberFormat="1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10" fontId="16" fillId="0" borderId="30" xfId="0" applyNumberFormat="1" applyFont="1" applyBorder="1" applyAlignment="1">
      <alignment vertical="center"/>
    </xf>
    <xf numFmtId="0" fontId="16" fillId="0" borderId="29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16" fillId="0" borderId="3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0" fontId="0" fillId="0" borderId="17" xfId="0" applyNumberFormat="1" applyBorder="1" applyAlignment="1">
      <alignment vertical="center"/>
    </xf>
    <xf numFmtId="0" fontId="16" fillId="0" borderId="36" xfId="0" applyFont="1" applyBorder="1"/>
    <xf numFmtId="0" fontId="16" fillId="0" borderId="21" xfId="0" applyFont="1" applyBorder="1"/>
    <xf numFmtId="0" fontId="16" fillId="0" borderId="28" xfId="0" applyFont="1" applyBorder="1" applyAlignment="1">
      <alignment horizontal="left" vertical="center" wrapText="1"/>
    </xf>
    <xf numFmtId="0" fontId="16" fillId="0" borderId="37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0" fontId="16" fillId="0" borderId="24" xfId="0" applyNumberFormat="1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/>
    </xf>
    <xf numFmtId="8" fontId="0" fillId="0" borderId="25" xfId="0" applyNumberFormat="1" applyBorder="1" applyAlignment="1">
      <alignment vertical="center"/>
    </xf>
    <xf numFmtId="10" fontId="0" fillId="0" borderId="25" xfId="0" applyNumberForma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16" fillId="0" borderId="54" xfId="0" applyFont="1" applyBorder="1"/>
    <xf numFmtId="0" fontId="16" fillId="0" borderId="55" xfId="0" applyFont="1" applyBorder="1"/>
    <xf numFmtId="0" fontId="16" fillId="0" borderId="56" xfId="0" applyFont="1" applyBorder="1"/>
    <xf numFmtId="0" fontId="0" fillId="0" borderId="53" xfId="0" applyBorder="1"/>
    <xf numFmtId="0" fontId="0" fillId="0" borderId="57" xfId="0" applyBorder="1"/>
    <xf numFmtId="0" fontId="16" fillId="0" borderId="4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10" fontId="16" fillId="0" borderId="31" xfId="0" applyNumberFormat="1" applyFont="1" applyBorder="1" applyAlignment="1">
      <alignment vertical="center"/>
    </xf>
    <xf numFmtId="1" fontId="0" fillId="0" borderId="10" xfId="0" applyNumberFormat="1" applyBorder="1"/>
    <xf numFmtId="0" fontId="16" fillId="0" borderId="27" xfId="0" applyFont="1" applyBorder="1" applyAlignment="1">
      <alignment vertical="center"/>
    </xf>
    <xf numFmtId="8" fontId="0" fillId="0" borderId="30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vertical="center"/>
    </xf>
    <xf numFmtId="0" fontId="16" fillId="34" borderId="58" xfId="0" applyFont="1" applyFill="1" applyBorder="1" applyAlignment="1">
      <alignment vertical="center"/>
    </xf>
    <xf numFmtId="0" fontId="16" fillId="34" borderId="44" xfId="0" applyFont="1" applyFill="1" applyBorder="1" applyAlignment="1">
      <alignment vertical="center"/>
    </xf>
    <xf numFmtId="0" fontId="16" fillId="34" borderId="30" xfId="0" applyFont="1" applyFill="1" applyBorder="1" applyAlignment="1">
      <alignment vertical="center"/>
    </xf>
    <xf numFmtId="10" fontId="16" fillId="34" borderId="30" xfId="0" applyNumberFormat="1" applyFont="1" applyFill="1" applyBorder="1" applyAlignment="1">
      <alignment vertical="center"/>
    </xf>
    <xf numFmtId="8" fontId="16" fillId="34" borderId="30" xfId="0" applyNumberFormat="1" applyFont="1" applyFill="1" applyBorder="1" applyAlignment="1">
      <alignment vertical="center"/>
    </xf>
    <xf numFmtId="0" fontId="16" fillId="34" borderId="29" xfId="0" applyFont="1" applyFill="1" applyBorder="1" applyAlignment="1">
      <alignment vertical="center" wrapText="1"/>
    </xf>
    <xf numFmtId="0" fontId="16" fillId="33" borderId="34" xfId="0" applyFont="1" applyFill="1" applyBorder="1" applyAlignment="1">
      <alignment horizontal="left" vertical="center" wrapText="1"/>
    </xf>
    <xf numFmtId="0" fontId="16" fillId="0" borderId="53" xfId="0" applyFont="1" applyBorder="1"/>
    <xf numFmtId="0" fontId="16" fillId="33" borderId="57" xfId="0" applyFont="1" applyFill="1" applyBorder="1" applyAlignment="1">
      <alignment vertical="center"/>
    </xf>
    <xf numFmtId="0" fontId="16" fillId="33" borderId="59" xfId="0" applyFont="1" applyFill="1" applyBorder="1" applyAlignment="1">
      <alignment vertical="center"/>
    </xf>
    <xf numFmtId="0" fontId="16" fillId="33" borderId="32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8" fontId="0" fillId="33" borderId="33" xfId="0" applyNumberFormat="1" applyFill="1" applyBorder="1" applyAlignment="1">
      <alignment vertical="center"/>
    </xf>
    <xf numFmtId="10" fontId="16" fillId="33" borderId="33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/>
    </xf>
    <xf numFmtId="0" fontId="16" fillId="0" borderId="28" xfId="0" applyFont="1" applyBorder="1" applyAlignment="1">
      <alignment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7" fontId="19" fillId="0" borderId="0" xfId="0" applyNumberFormat="1" applyFont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0" xfId="0" applyFont="1" applyAlignment="1">
      <alignment horizontal="right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145392</xdr:colOff>
      <xdr:row>0</xdr:row>
      <xdr:rowOff>75661</xdr:rowOff>
    </xdr:from>
    <xdr:to>
      <xdr:col>4</xdr:col>
      <xdr:colOff>1798957</xdr:colOff>
      <xdr:row>3</xdr:row>
      <xdr:rowOff>114819</xdr:rowOff>
    </xdr:to>
    <xdr:pic>
      <xdr:nvPicPr>
        <xdr:cNvPr id="3" name="Εικόνα 1">
          <a:extLst>
            <a:ext uri="{FF2B5EF4-FFF2-40B4-BE49-F238E27FC236}">
              <a16:creationId xmlns:a16="http://schemas.microsoft.com/office/drawing/2014/main" id="{50D5FA10-28DD-47B3-B766-376CA54A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992" y="75661"/>
          <a:ext cx="2282215" cy="610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8</xdr:col>
      <xdr:colOff>504825</xdr:colOff>
      <xdr:row>10</xdr:row>
      <xdr:rowOff>101077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5198992F-83F4-4522-99A7-72ADDFFF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267325" cy="2006077"/>
        </a:xfrm>
        <a:prstGeom prst="rect">
          <a:avLst/>
        </a:prstGeom>
        <a:gradFill>
          <a:gsLst>
            <a:gs pos="49117">
              <a:srgbClr val="CBDFF2"/>
            </a:gs>
            <a:gs pos="60864">
              <a:srgbClr val="C1D9EF"/>
            </a:gs>
            <a:gs pos="66156">
              <a:srgbClr val="BCD6EE"/>
            </a:gs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</xdr:pic>
    <xdr:clientData/>
  </xdr:twoCellAnchor>
  <xdr:twoCellAnchor>
    <xdr:from>
      <xdr:col>0</xdr:col>
      <xdr:colOff>323850</xdr:colOff>
      <xdr:row>13</xdr:row>
      <xdr:rowOff>76200</xdr:rowOff>
    </xdr:from>
    <xdr:to>
      <xdr:col>8</xdr:col>
      <xdr:colOff>438150</xdr:colOff>
      <xdr:row>32</xdr:row>
      <xdr:rowOff>171450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1D0BA1-684D-4E00-AC00-E46B7D38E063}"/>
            </a:ext>
          </a:extLst>
        </xdr:cNvPr>
        <xdr:cNvSpPr txBox="1"/>
      </xdr:nvSpPr>
      <xdr:spPr>
        <a:xfrm>
          <a:off x="323850" y="2552700"/>
          <a:ext cx="4991100" cy="3714750"/>
        </a:xfrm>
        <a:prstGeom prst="rect">
          <a:avLst/>
        </a:prstGeom>
        <a:noFill/>
        <a:ln w="9525" cmpd="dbl">
          <a:solidFill>
            <a:schemeClr val="bg2">
              <a:lumMod val="25000"/>
            </a:schemeClr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3500" b="1">
              <a:latin typeface="+mn-lt"/>
            </a:rPr>
            <a:t>ΠΡΟΣΦΟΡΑ</a:t>
          </a:r>
          <a:r>
            <a:rPr lang="el-GR" sz="3500" b="1" baseline="0">
              <a:latin typeface="+mn-lt"/>
            </a:rPr>
            <a:t>     ΔΕΚΕΜΒΡΙΟΣ  2022</a:t>
          </a:r>
        </a:p>
        <a:p>
          <a:pPr algn="ctr"/>
          <a:r>
            <a:rPr lang="el-GR" sz="2500" b="1" baseline="0">
              <a:latin typeface="+mn-lt"/>
            </a:rPr>
            <a:t> </a:t>
          </a:r>
        </a:p>
        <a:p>
          <a:pPr algn="ctr"/>
          <a:endParaRPr lang="el-GR" sz="2500" b="1" baseline="0">
            <a:latin typeface="+mn-lt"/>
          </a:endParaRPr>
        </a:p>
        <a:p>
          <a:pPr algn="ctr"/>
          <a:endParaRPr lang="el-GR" sz="2500" b="1" baseline="0">
            <a:latin typeface="+mn-lt"/>
          </a:endParaRPr>
        </a:p>
        <a:p>
          <a:pPr algn="ctr"/>
          <a:r>
            <a:rPr lang="el-GR" sz="2000" b="1" baseline="0">
              <a:latin typeface="+mn-lt"/>
            </a:rPr>
            <a:t>   </a:t>
          </a:r>
          <a:r>
            <a:rPr lang="el-GR" sz="2500" b="1" baseline="0">
              <a:latin typeface="+mn-lt"/>
            </a:rPr>
            <a:t>ΜΗ.ΣΥ.ΦΑ</a:t>
          </a:r>
        </a:p>
        <a:p>
          <a:pPr algn="ctr"/>
          <a:r>
            <a:rPr lang="el-GR" sz="2500" b="1" baseline="0">
              <a:latin typeface="+mn-lt"/>
            </a:rPr>
            <a:t>ΦΑΡΜΑΚΟ </a:t>
          </a:r>
        </a:p>
        <a:p>
          <a:pPr algn="ctr"/>
          <a:r>
            <a:rPr lang="el-GR" sz="2500" b="1" baseline="0">
              <a:latin typeface="+mn-lt"/>
            </a:rPr>
            <a:t>    ΠΑΡΑΦΑΡΜΑΚΟ </a:t>
          </a:r>
          <a:endParaRPr lang="el-GR" sz="2500" b="1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2019301</xdr:colOff>
      <xdr:row>4</xdr:row>
      <xdr:rowOff>152400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967AC08D-F6A4-44F7-86A0-1EA50A649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1" y="190500"/>
          <a:ext cx="2019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9523</xdr:colOff>
      <xdr:row>28</xdr:row>
      <xdr:rowOff>180974</xdr:rowOff>
    </xdr:from>
    <xdr:to>
      <xdr:col>0</xdr:col>
      <xdr:colOff>3152774</xdr:colOff>
      <xdr:row>36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F4CB36-8D6F-4A1A-93A2-621C45DBE0CB}"/>
            </a:ext>
          </a:extLst>
        </xdr:cNvPr>
        <xdr:cNvSpPr txBox="1"/>
      </xdr:nvSpPr>
      <xdr:spPr>
        <a:xfrm>
          <a:off x="600073" y="6267449"/>
          <a:ext cx="3143251" cy="19050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b="1" u="none"/>
            <a:t>       </a:t>
          </a:r>
          <a:r>
            <a:rPr lang="el-GR" sz="1100" b="1" u="sng"/>
            <a:t>ΕΠΩΝΥΜΙΑ</a:t>
          </a:r>
          <a:r>
            <a:rPr lang="el-GR" sz="1100" b="1" u="sng" baseline="0"/>
            <a:t> ΚΑΙ ΣΦΡΑΓΙΔΑ ΦΑΡΜΑΚΕΙΟΥ </a:t>
          </a:r>
          <a:endParaRPr lang="el-GR" sz="1100" b="1" u="sng"/>
        </a:p>
      </xdr:txBody>
    </xdr:sp>
    <xdr:clientData/>
  </xdr:twoCellAnchor>
  <xdr:twoCellAnchor>
    <xdr:from>
      <xdr:col>0</xdr:col>
      <xdr:colOff>3914776</xdr:colOff>
      <xdr:row>29</xdr:row>
      <xdr:rowOff>9525</xdr:rowOff>
    </xdr:from>
    <xdr:to>
      <xdr:col>0</xdr:col>
      <xdr:colOff>6219825</xdr:colOff>
      <xdr:row>29</xdr:row>
      <xdr:rowOff>342900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52E0716-9FE4-4B5B-9AD2-769286800161}"/>
            </a:ext>
          </a:extLst>
        </xdr:cNvPr>
        <xdr:cNvSpPr txBox="1"/>
      </xdr:nvSpPr>
      <xdr:spPr>
        <a:xfrm>
          <a:off x="4505326" y="6467475"/>
          <a:ext cx="2305049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ΗΜΕΡΟΜΗΝΙΑ</a:t>
          </a:r>
          <a:r>
            <a:rPr lang="el-GR" sz="1100" baseline="0"/>
            <a:t> ...........................</a:t>
          </a:r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0D73-3368-4801-B0C8-31BF60412152}">
  <dimension ref="A1:J630"/>
  <sheetViews>
    <sheetView topLeftCell="C123" workbookViewId="0">
      <selection activeCell="S141" sqref="S141"/>
    </sheetView>
  </sheetViews>
  <sheetFormatPr defaultRowHeight="15" x14ac:dyDescent="0.25"/>
  <cols>
    <col min="1" max="1" width="14.7109375" hidden="1" customWidth="1"/>
    <col min="2" max="2" width="14.28515625" hidden="1" customWidth="1"/>
    <col min="3" max="3" width="9.42578125" customWidth="1"/>
    <col min="4" max="4" width="13.5703125" hidden="1" customWidth="1"/>
    <col min="5" max="5" width="55.5703125" customWidth="1"/>
    <col min="6" max="6" width="9.140625" customWidth="1"/>
    <col min="9" max="9" width="8.140625" customWidth="1"/>
    <col min="10" max="10" width="20.140625" customWidth="1"/>
  </cols>
  <sheetData>
    <row r="1" spans="1:10" ht="15" customHeight="1" x14ac:dyDescent="0.25">
      <c r="F1" s="244" t="s">
        <v>89</v>
      </c>
      <c r="G1" s="244"/>
      <c r="H1" s="244"/>
      <c r="I1" s="244"/>
      <c r="J1" s="244"/>
    </row>
    <row r="2" spans="1:10" ht="15" customHeight="1" x14ac:dyDescent="0.25">
      <c r="F2" s="244"/>
      <c r="G2" s="244"/>
      <c r="H2" s="244"/>
      <c r="I2" s="244"/>
      <c r="J2" s="244"/>
    </row>
    <row r="3" spans="1:10" ht="15" customHeight="1" x14ac:dyDescent="0.25">
      <c r="F3" s="245" t="s">
        <v>186</v>
      </c>
      <c r="G3" s="245"/>
      <c r="H3" s="245"/>
      <c r="I3" s="245"/>
      <c r="J3" s="245"/>
    </row>
    <row r="4" spans="1:10" ht="15" customHeight="1" thickBot="1" x14ac:dyDescent="0.3">
      <c r="F4" s="245"/>
      <c r="G4" s="245"/>
      <c r="H4" s="245"/>
      <c r="I4" s="245"/>
      <c r="J4" s="245"/>
    </row>
    <row r="5" spans="1:10" ht="15" customHeight="1" thickBot="1" x14ac:dyDescent="0.3">
      <c r="C5" s="154"/>
      <c r="D5" s="246" t="s">
        <v>153</v>
      </c>
      <c r="E5" s="246"/>
      <c r="F5" s="246"/>
      <c r="G5" s="246"/>
      <c r="H5" s="246"/>
      <c r="I5" s="246"/>
      <c r="J5" s="155"/>
    </row>
    <row r="6" spans="1:10" s="2" customFormat="1" ht="15.75" thickBot="1" x14ac:dyDescent="0.3">
      <c r="A6" s="51" t="s">
        <v>1</v>
      </c>
      <c r="B6" s="128" t="s">
        <v>3</v>
      </c>
      <c r="C6" s="66" t="s">
        <v>0</v>
      </c>
      <c r="D6" s="67" t="s">
        <v>1</v>
      </c>
      <c r="E6" s="67" t="s">
        <v>2</v>
      </c>
      <c r="F6" s="68" t="s">
        <v>152</v>
      </c>
      <c r="G6" s="69" t="s">
        <v>123</v>
      </c>
      <c r="H6" s="69" t="s">
        <v>154</v>
      </c>
      <c r="I6" s="67" t="s">
        <v>124</v>
      </c>
      <c r="J6" s="70" t="s">
        <v>122</v>
      </c>
    </row>
    <row r="7" spans="1:10" s="2" customFormat="1" ht="15" customHeight="1" x14ac:dyDescent="0.25">
      <c r="A7" s="6">
        <v>8605039109445</v>
      </c>
      <c r="B7" s="129" t="s">
        <v>4</v>
      </c>
      <c r="C7" s="6" t="s">
        <v>90</v>
      </c>
      <c r="D7" s="7" t="s">
        <v>91</v>
      </c>
      <c r="E7" s="7" t="s">
        <v>92</v>
      </c>
      <c r="F7" s="19">
        <v>2</v>
      </c>
      <c r="G7" s="9">
        <v>0.2</v>
      </c>
      <c r="H7" s="23">
        <f>F7-F7*G7</f>
        <v>1.6</v>
      </c>
      <c r="I7" s="7"/>
      <c r="J7" s="44" t="s">
        <v>64</v>
      </c>
    </row>
    <row r="8" spans="1:10" s="2" customFormat="1" ht="15" customHeight="1" x14ac:dyDescent="0.25">
      <c r="A8" s="10">
        <v>6973443180087</v>
      </c>
      <c r="B8" s="39" t="s">
        <v>4</v>
      </c>
      <c r="C8" s="10" t="s">
        <v>93</v>
      </c>
      <c r="D8" s="3" t="s">
        <v>94</v>
      </c>
      <c r="E8" s="3" t="s">
        <v>95</v>
      </c>
      <c r="F8" s="19">
        <v>0.08</v>
      </c>
      <c r="G8" s="5">
        <v>0.2</v>
      </c>
      <c r="H8" s="19">
        <f t="shared" ref="H8:H59" si="0">F8-F8*G8</f>
        <v>6.4000000000000001E-2</v>
      </c>
      <c r="I8" s="3"/>
      <c r="J8" s="45" t="s">
        <v>65</v>
      </c>
    </row>
    <row r="9" spans="1:10" s="2" customFormat="1" ht="15" customHeight="1" x14ac:dyDescent="0.25">
      <c r="A9" s="10">
        <v>5208760611114</v>
      </c>
      <c r="B9" s="39" t="s">
        <v>4</v>
      </c>
      <c r="C9" s="10" t="s">
        <v>96</v>
      </c>
      <c r="D9" s="3" t="s">
        <v>97</v>
      </c>
      <c r="E9" s="3" t="s">
        <v>98</v>
      </c>
      <c r="F9" s="19">
        <v>0.45</v>
      </c>
      <c r="G9" s="5">
        <v>0.2</v>
      </c>
      <c r="H9" s="19">
        <f t="shared" si="0"/>
        <v>0.36</v>
      </c>
      <c r="I9" s="3"/>
      <c r="J9" s="45" t="s">
        <v>68</v>
      </c>
    </row>
    <row r="10" spans="1:10" s="2" customFormat="1" ht="15" customHeight="1" x14ac:dyDescent="0.25">
      <c r="A10" s="10">
        <v>6973083140366</v>
      </c>
      <c r="B10" s="39" t="s">
        <v>4</v>
      </c>
      <c r="C10" s="10" t="s">
        <v>99</v>
      </c>
      <c r="D10" s="3" t="s">
        <v>100</v>
      </c>
      <c r="E10" s="3" t="s">
        <v>101</v>
      </c>
      <c r="F10" s="19">
        <v>10</v>
      </c>
      <c r="G10" s="5">
        <v>0.3</v>
      </c>
      <c r="H10" s="19">
        <f t="shared" si="0"/>
        <v>7</v>
      </c>
      <c r="I10" s="3"/>
      <c r="J10" s="45" t="s">
        <v>69</v>
      </c>
    </row>
    <row r="11" spans="1:10" s="2" customFormat="1" ht="15" customHeight="1" thickBot="1" x14ac:dyDescent="0.3">
      <c r="A11" s="10">
        <v>6973220170010</v>
      </c>
      <c r="B11" s="39" t="s">
        <v>4</v>
      </c>
      <c r="C11" s="10" t="s">
        <v>102</v>
      </c>
      <c r="D11" s="3" t="s">
        <v>103</v>
      </c>
      <c r="E11" s="3" t="s">
        <v>104</v>
      </c>
      <c r="F11" s="19">
        <v>6.5</v>
      </c>
      <c r="G11" s="5">
        <v>0.1</v>
      </c>
      <c r="H11" s="19">
        <f t="shared" si="0"/>
        <v>5.85</v>
      </c>
      <c r="I11" s="3"/>
      <c r="J11" s="45" t="s">
        <v>67</v>
      </c>
    </row>
    <row r="12" spans="1:10" ht="15" customHeight="1" x14ac:dyDescent="0.25">
      <c r="A12" s="21">
        <v>6921756492274</v>
      </c>
      <c r="B12" s="131" t="s">
        <v>4</v>
      </c>
      <c r="C12" s="21" t="s">
        <v>125</v>
      </c>
      <c r="D12" s="22" t="s">
        <v>126</v>
      </c>
      <c r="E12" s="22" t="s">
        <v>127</v>
      </c>
      <c r="F12" s="19">
        <v>30</v>
      </c>
      <c r="G12" s="24">
        <v>0.1</v>
      </c>
      <c r="H12" s="23">
        <f t="shared" si="0"/>
        <v>27</v>
      </c>
      <c r="I12" s="22"/>
      <c r="J12" s="36" t="s">
        <v>21</v>
      </c>
    </row>
    <row r="13" spans="1:10" ht="15" customHeight="1" thickBot="1" x14ac:dyDescent="0.3">
      <c r="A13" s="25">
        <v>6936020115186</v>
      </c>
      <c r="B13" s="40" t="s">
        <v>4</v>
      </c>
      <c r="C13" s="25" t="s">
        <v>128</v>
      </c>
      <c r="D13" s="18" t="s">
        <v>129</v>
      </c>
      <c r="E13" s="18" t="s">
        <v>130</v>
      </c>
      <c r="F13" s="19">
        <v>1.26</v>
      </c>
      <c r="G13" s="20">
        <v>0.1</v>
      </c>
      <c r="H13" s="19">
        <f t="shared" si="0"/>
        <v>1.1339999999999999</v>
      </c>
      <c r="I13" s="18"/>
      <c r="J13" s="34" t="s">
        <v>20</v>
      </c>
    </row>
    <row r="14" spans="1:10" ht="15" customHeight="1" x14ac:dyDescent="0.25">
      <c r="A14" s="57">
        <v>4211125454319</v>
      </c>
      <c r="B14" s="71" t="s">
        <v>105</v>
      </c>
      <c r="C14" s="21" t="s">
        <v>106</v>
      </c>
      <c r="D14" s="22" t="s">
        <v>107</v>
      </c>
      <c r="E14" s="22" t="s">
        <v>108</v>
      </c>
      <c r="F14" s="19">
        <v>30</v>
      </c>
      <c r="G14" s="24">
        <v>7.0000000000000007E-2</v>
      </c>
      <c r="H14" s="23">
        <f t="shared" si="0"/>
        <v>27.9</v>
      </c>
      <c r="I14" s="22"/>
      <c r="J14" s="36" t="s">
        <v>31</v>
      </c>
    </row>
    <row r="15" spans="1:10" ht="15" customHeight="1" x14ac:dyDescent="0.25">
      <c r="A15" s="25">
        <v>6945040100188</v>
      </c>
      <c r="B15" s="40" t="s">
        <v>4</v>
      </c>
      <c r="C15" s="25" t="s">
        <v>109</v>
      </c>
      <c r="D15" s="18" t="s">
        <v>110</v>
      </c>
      <c r="E15" s="18" t="s">
        <v>111</v>
      </c>
      <c r="F15" s="19">
        <v>25</v>
      </c>
      <c r="G15" s="20">
        <v>0.05</v>
      </c>
      <c r="H15" s="19">
        <f t="shared" si="0"/>
        <v>23.75</v>
      </c>
      <c r="I15" s="18"/>
      <c r="J15" s="34" t="s">
        <v>66</v>
      </c>
    </row>
    <row r="16" spans="1:10" ht="15" customHeight="1" thickBot="1" x14ac:dyDescent="0.3">
      <c r="A16" s="30">
        <v>4015672104877</v>
      </c>
      <c r="B16" s="133" t="s">
        <v>112</v>
      </c>
      <c r="C16" s="26" t="s">
        <v>113</v>
      </c>
      <c r="D16" s="27" t="s">
        <v>114</v>
      </c>
      <c r="E16" s="27" t="s">
        <v>115</v>
      </c>
      <c r="F16" s="19">
        <v>6.33</v>
      </c>
      <c r="G16" s="29">
        <v>0.2</v>
      </c>
      <c r="H16" s="28">
        <f t="shared" si="0"/>
        <v>5.0640000000000001</v>
      </c>
      <c r="I16" s="27"/>
      <c r="J16" s="35" t="s">
        <v>33</v>
      </c>
    </row>
    <row r="17" spans="1:10" ht="15" customHeight="1" x14ac:dyDescent="0.25">
      <c r="A17" s="6">
        <v>4015672113466</v>
      </c>
      <c r="B17" s="129" t="s">
        <v>112</v>
      </c>
      <c r="C17" s="6" t="s">
        <v>116</v>
      </c>
      <c r="D17" s="7" t="s">
        <v>117</v>
      </c>
      <c r="E17" s="7" t="s">
        <v>118</v>
      </c>
      <c r="F17" s="19">
        <v>35</v>
      </c>
      <c r="G17" s="9">
        <v>0.05</v>
      </c>
      <c r="H17" s="23">
        <f t="shared" si="0"/>
        <v>33.25</v>
      </c>
      <c r="I17" s="7"/>
      <c r="J17" s="219" t="s">
        <v>58</v>
      </c>
    </row>
    <row r="18" spans="1:10" ht="15" customHeight="1" thickBot="1" x14ac:dyDescent="0.3">
      <c r="A18" s="11">
        <v>4015672111110</v>
      </c>
      <c r="B18" s="130" t="s">
        <v>112</v>
      </c>
      <c r="C18" s="11" t="s">
        <v>119</v>
      </c>
      <c r="D18" s="12" t="s">
        <v>120</v>
      </c>
      <c r="E18" s="12" t="s">
        <v>121</v>
      </c>
      <c r="F18" s="19">
        <v>35</v>
      </c>
      <c r="G18" s="14">
        <v>0.05</v>
      </c>
      <c r="H18" s="28">
        <f t="shared" si="0"/>
        <v>33.25</v>
      </c>
      <c r="I18" s="12"/>
      <c r="J18" s="220"/>
    </row>
    <row r="19" spans="1:10" ht="15" customHeight="1" x14ac:dyDescent="0.25">
      <c r="A19" s="21">
        <v>4015630067466</v>
      </c>
      <c r="B19" s="131" t="str">
        <f>"PARAPHARM INTERNATIONAL  A.E"</f>
        <v>PARAPHARM INTERNATIONAL  A.E</v>
      </c>
      <c r="C19" s="21" t="str">
        <f>"63045"</f>
        <v>63045</v>
      </c>
      <c r="D19" s="22" t="str">
        <f>"4015630067466"</f>
        <v>4015630067466</v>
      </c>
      <c r="E19" s="22" t="str">
        <f>"ACCU-CHECK GUIDE STRIPS x50"</f>
        <v>ACCU-CHECK GUIDE STRIPS x50</v>
      </c>
      <c r="F19" s="19">
        <v>17</v>
      </c>
      <c r="G19" s="24">
        <v>0.18</v>
      </c>
      <c r="H19" s="23">
        <f t="shared" si="0"/>
        <v>13.94</v>
      </c>
      <c r="I19" s="22"/>
      <c r="J19" s="221" t="s">
        <v>46</v>
      </c>
    </row>
    <row r="20" spans="1:10" ht="15" customHeight="1" thickBot="1" x14ac:dyDescent="0.3">
      <c r="A20" s="26">
        <v>4015630066810</v>
      </c>
      <c r="B20" s="132" t="str">
        <f>"PARAPHARM INTERNATIONAL  A.E"</f>
        <v>PARAPHARM INTERNATIONAL  A.E</v>
      </c>
      <c r="C20" s="26" t="str">
        <f>"29680"</f>
        <v>29680</v>
      </c>
      <c r="D20" s="27" t="str">
        <f>"4015630066810"</f>
        <v>4015630066810</v>
      </c>
      <c r="E20" s="27" t="str">
        <f>"ACCU-CHECK INSTANT STRIPS x50"</f>
        <v>ACCU-CHECK INSTANT STRIPS x50</v>
      </c>
      <c r="F20" s="19">
        <v>17</v>
      </c>
      <c r="G20" s="29">
        <v>0.18</v>
      </c>
      <c r="H20" s="28">
        <f t="shared" si="0"/>
        <v>13.94</v>
      </c>
      <c r="I20" s="27"/>
      <c r="J20" s="222"/>
    </row>
    <row r="21" spans="1:10" s="1" customFormat="1" ht="30" customHeight="1" x14ac:dyDescent="0.25">
      <c r="A21" s="182">
        <v>21292014384</v>
      </c>
      <c r="B21" s="183" t="str">
        <f>"PARAPHARM INTERNATIONAL  A.E"</f>
        <v>PARAPHARM INTERNATIONAL  A.E</v>
      </c>
      <c r="C21" s="182" t="str">
        <f>"0540140"</f>
        <v>0540140</v>
      </c>
      <c r="D21" s="184" t="str">
        <f>"021292014384"</f>
        <v>021292014384</v>
      </c>
      <c r="E21" s="184" t="str">
        <f>"TRUERESULT STRIPS x50"</f>
        <v>TRUERESULT STRIPS x50</v>
      </c>
      <c r="F21" s="19">
        <v>15</v>
      </c>
      <c r="G21" s="186">
        <v>0.06</v>
      </c>
      <c r="H21" s="185">
        <f t="shared" si="0"/>
        <v>14.1</v>
      </c>
      <c r="I21" s="184"/>
      <c r="J21" s="187" t="s">
        <v>22</v>
      </c>
    </row>
    <row r="22" spans="1:10" ht="15" customHeight="1" thickBot="1" x14ac:dyDescent="0.3">
      <c r="A22" s="30">
        <v>5021791708482</v>
      </c>
      <c r="B22" s="133" t="str">
        <f>"ABBOTT LABORATORIES (ΕΛΛΑΣ) ΑΒΕΕ"</f>
        <v>ABBOTT LABORATORIES (ΕΛΛΑΣ) ΑΒΕΕ</v>
      </c>
      <c r="C22" s="30" t="str">
        <f>"052381"</f>
        <v>052381</v>
      </c>
      <c r="D22" s="31" t="str">
        <f>"5021791708482"</f>
        <v>5021791708482</v>
      </c>
      <c r="E22" s="31" t="str">
        <f>"FREESTYLE LANCETS x50 (ABBOTT THIN)"</f>
        <v>FREESTYLE LANCETS x50 (ABBOTT THIN)</v>
      </c>
      <c r="F22" s="19">
        <v>2.2999999999999998</v>
      </c>
      <c r="G22" s="33">
        <v>0.1</v>
      </c>
      <c r="H22" s="32">
        <f t="shared" si="0"/>
        <v>2.0699999999999998</v>
      </c>
      <c r="I22" s="31"/>
      <c r="J22" s="56" t="s">
        <v>21</v>
      </c>
    </row>
    <row r="23" spans="1:10" ht="15" customHeight="1" x14ac:dyDescent="0.25">
      <c r="A23" s="21">
        <v>5021791708161</v>
      </c>
      <c r="B23" s="131" t="str">
        <f>"ABBOTT LABORATORIES (ΕΛΛΑΣ) ΑΒΕΕ"</f>
        <v>ABBOTT LABORATORIES (ΕΛΛΑΣ) ΑΒΕΕ</v>
      </c>
      <c r="C23" s="21" t="str">
        <f>"052583"</f>
        <v>052583</v>
      </c>
      <c r="D23" s="22" t="str">
        <f>"5021791708161"</f>
        <v>5021791708161</v>
      </c>
      <c r="E23" s="22" t="str">
        <f>"FREESTYLE LITE STRIPS x50"</f>
        <v>FREESTYLE LITE STRIPS x50</v>
      </c>
      <c r="F23" s="19">
        <v>13.2</v>
      </c>
      <c r="G23" s="24">
        <v>0.04</v>
      </c>
      <c r="H23" s="23">
        <f t="shared" si="0"/>
        <v>12.671999999999999</v>
      </c>
      <c r="I23" s="22"/>
      <c r="J23" s="221" t="s">
        <v>41</v>
      </c>
    </row>
    <row r="24" spans="1:10" ht="15" customHeight="1" thickBot="1" x14ac:dyDescent="0.3">
      <c r="A24" s="26">
        <v>5021791988242</v>
      </c>
      <c r="B24" s="132" t="str">
        <f>"ABBOTT LABORATORIES (ΕΛΛΑΣ) ΑΒΕΕ"</f>
        <v>ABBOTT LABORATORIES (ΕΛΛΑΣ) ΑΒΕΕ</v>
      </c>
      <c r="C24" s="26" t="str">
        <f>"03353"</f>
        <v>03353</v>
      </c>
      <c r="D24" s="27" t="str">
        <f>"5021791988242"</f>
        <v>5021791988242</v>
      </c>
      <c r="E24" s="27" t="str">
        <f>"FREESTYLE PRECISION STRIPS x50"</f>
        <v>FREESTYLE PRECISION STRIPS x50</v>
      </c>
      <c r="F24" s="19">
        <v>14</v>
      </c>
      <c r="G24" s="29">
        <v>0.04</v>
      </c>
      <c r="H24" s="28">
        <f t="shared" si="0"/>
        <v>13.44</v>
      </c>
      <c r="I24" s="27"/>
      <c r="J24" s="222"/>
    </row>
    <row r="25" spans="1:10" ht="15" customHeight="1" x14ac:dyDescent="0.25">
      <c r="A25" s="57">
        <v>5016003680700</v>
      </c>
      <c r="B25" s="71" t="str">
        <f>"ASCENSIA DIABETES CARE ΕΛΛΑΣ Α.Ε."</f>
        <v>ASCENSIA DIABETES CARE ΕΛΛΑΣ Α.Ε.</v>
      </c>
      <c r="C25" s="57" t="str">
        <f>"73305"</f>
        <v>73305</v>
      </c>
      <c r="D25" s="41" t="str">
        <f>"5016003680700"</f>
        <v>5016003680700</v>
      </c>
      <c r="E25" s="41" t="str">
        <f>"CONTOUR CARE 50STRIPS ASCENCIA"</f>
        <v>CONTOUR CARE 50STRIPS ASCENCIA</v>
      </c>
      <c r="F25" s="19">
        <v>17</v>
      </c>
      <c r="G25" s="43">
        <v>0.15</v>
      </c>
      <c r="H25" s="42">
        <f t="shared" si="0"/>
        <v>14.45</v>
      </c>
      <c r="I25" s="41"/>
      <c r="J25" s="58" t="s">
        <v>12</v>
      </c>
    </row>
    <row r="26" spans="1:10" ht="15" customHeight="1" thickBot="1" x14ac:dyDescent="0.3">
      <c r="A26" s="25">
        <v>682607556229</v>
      </c>
      <c r="B26" s="40" t="str">
        <f>"WINMEDICA ΦΑΡΜΑΚΕΥΤΙΚΗ AE"</f>
        <v>WINMEDICA ΦΑΡΜΑΚΕΥΤΙΚΗ AE</v>
      </c>
      <c r="C26" s="30" t="str">
        <f>"4319"</f>
        <v>4319</v>
      </c>
      <c r="D26" s="31" t="str">
        <f>"682607556229"</f>
        <v>682607556229</v>
      </c>
      <c r="E26" s="31" t="str">
        <f>"ON CALL VIVID STRIPS x50"</f>
        <v>ON CALL VIVID STRIPS x50</v>
      </c>
      <c r="F26" s="19">
        <v>13</v>
      </c>
      <c r="G26" s="33">
        <v>0.04</v>
      </c>
      <c r="H26" s="32">
        <f t="shared" si="0"/>
        <v>12.48</v>
      </c>
      <c r="I26" s="31"/>
      <c r="J26" s="56" t="s">
        <v>30</v>
      </c>
    </row>
    <row r="27" spans="1:10" ht="15" customHeight="1" x14ac:dyDescent="0.25">
      <c r="A27" s="6">
        <v>382903202126</v>
      </c>
      <c r="B27" s="129" t="str">
        <f>"PARAPHARM INTERNATIONAL  A.E"</f>
        <v>PARAPHARM INTERNATIONAL  A.E</v>
      </c>
      <c r="C27" s="6" t="str">
        <f>"0941"</f>
        <v>0941</v>
      </c>
      <c r="D27" s="7" t="str">
        <f>"0382903202126"</f>
        <v>0382903202126</v>
      </c>
      <c r="E27" s="7" t="str">
        <f>"BD 100 ΠΕΝ.31G 5mm Micro Fine"</f>
        <v>BD 100 ΠΕΝ.31G 5mm Micro Fine</v>
      </c>
      <c r="F27" s="19">
        <v>6.15</v>
      </c>
      <c r="G27" s="9">
        <v>0</v>
      </c>
      <c r="H27" s="23">
        <f t="shared" si="0"/>
        <v>6.15</v>
      </c>
      <c r="I27" s="7"/>
      <c r="J27" s="219" t="s">
        <v>84</v>
      </c>
    </row>
    <row r="28" spans="1:10" ht="15" customHeight="1" x14ac:dyDescent="0.25">
      <c r="A28" s="10">
        <v>382903207336</v>
      </c>
      <c r="B28" s="39" t="str">
        <f>"PARAPHARM INTERNATIONAL  A.E"</f>
        <v>PARAPHARM INTERNATIONAL  A.E</v>
      </c>
      <c r="C28" s="10" t="str">
        <f>"38200"</f>
        <v>38200</v>
      </c>
      <c r="D28" s="3" t="str">
        <f>"382903207336"</f>
        <v>382903207336</v>
      </c>
      <c r="E28" s="3" t="str">
        <f>"BD 100 ΠΕΝ.31G 6mm Micro Fine"</f>
        <v>BD 100 ΠΕΝ.31G 6mm Micro Fine</v>
      </c>
      <c r="F28" s="19">
        <v>6.15</v>
      </c>
      <c r="G28" s="5">
        <v>0</v>
      </c>
      <c r="H28" s="19">
        <f t="shared" si="0"/>
        <v>6.15</v>
      </c>
      <c r="I28" s="3"/>
      <c r="J28" s="224"/>
    </row>
    <row r="29" spans="1:10" ht="15" customHeight="1" x14ac:dyDescent="0.25">
      <c r="A29" s="10">
        <v>382903202133</v>
      </c>
      <c r="B29" s="39" t="str">
        <f>"PARAPHARM INTERNATIONAL  A.E"</f>
        <v>PARAPHARM INTERNATIONAL  A.E</v>
      </c>
      <c r="C29" s="10" t="str">
        <f>"0640"</f>
        <v>0640</v>
      </c>
      <c r="D29" s="3" t="str">
        <f>"382903202133"</f>
        <v>382903202133</v>
      </c>
      <c r="E29" s="3" t="str">
        <f>"BD 100 ΠΕΝ.31G 8mm Micro Fine THIN WALL"</f>
        <v>BD 100 ΠΕΝ.31G 8mm Micro Fine THIN WALL</v>
      </c>
      <c r="F29" s="19">
        <v>6.15</v>
      </c>
      <c r="G29" s="5">
        <v>0</v>
      </c>
      <c r="H29" s="19">
        <f t="shared" si="0"/>
        <v>6.15</v>
      </c>
      <c r="I29" s="3"/>
      <c r="J29" s="224"/>
    </row>
    <row r="30" spans="1:10" ht="15" customHeight="1" thickBot="1" x14ac:dyDescent="0.3">
      <c r="A30" s="11">
        <v>382903202119</v>
      </c>
      <c r="B30" s="130" t="str">
        <f>"PARAPHARM INTERNATIONAL  A.E"</f>
        <v>PARAPHARM INTERNATIONAL  A.E</v>
      </c>
      <c r="C30" s="11" t="str">
        <f>"0247852"</f>
        <v>0247852</v>
      </c>
      <c r="D30" s="12" t="str">
        <f>"382903202119"</f>
        <v>382903202119</v>
      </c>
      <c r="E30" s="12" t="str">
        <f>"BD 100 ΠΕΝ.32G 4mm Micro Fine THIN WALL"</f>
        <v>BD 100 ΠΕΝ.32G 4mm Micro Fine THIN WALL</v>
      </c>
      <c r="F30" s="19">
        <v>6.15</v>
      </c>
      <c r="G30" s="14">
        <v>0</v>
      </c>
      <c r="H30" s="28">
        <f t="shared" si="0"/>
        <v>6.15</v>
      </c>
      <c r="I30" s="12"/>
      <c r="J30" s="220"/>
    </row>
    <row r="31" spans="1:10" ht="15" customHeight="1" x14ac:dyDescent="0.25">
      <c r="A31" s="21">
        <v>5202409110372</v>
      </c>
      <c r="B31" s="131" t="str">
        <f>"ADAMS PHARM ΕΜΠΟΡΙΚΗ Α.Ε."</f>
        <v>ADAMS PHARM ΕΜΠΟΡΙΚΗ Α.Ε.</v>
      </c>
      <c r="C31" s="57" t="str">
        <f>"22721"</f>
        <v>22721</v>
      </c>
      <c r="D31" s="41" t="str">
        <f>"5202409110372"</f>
        <v>5202409110372</v>
      </c>
      <c r="E31" s="41" t="str">
        <f>"ALCOOL ΑΝΤΙΣΗΠΤΙΚΟ HAND GEL OPEN 1L"</f>
        <v>ALCOOL ΑΝΤΙΣΗΠΤΙΚΟ HAND GEL OPEN 1L</v>
      </c>
      <c r="F31" s="19">
        <v>5.3</v>
      </c>
      <c r="G31" s="43">
        <v>0.15</v>
      </c>
      <c r="H31" s="42">
        <f t="shared" si="0"/>
        <v>4.5049999999999999</v>
      </c>
      <c r="I31" s="41"/>
      <c r="J31" s="218" t="s">
        <v>33</v>
      </c>
    </row>
    <row r="32" spans="1:10" ht="15.75" thickBot="1" x14ac:dyDescent="0.3">
      <c r="A32" s="26">
        <v>5202409110334</v>
      </c>
      <c r="B32" s="132" t="str">
        <f>"ADAMS PHARM ΕΜΠΟΡΙΚΗ Α.Ε."</f>
        <v>ADAMS PHARM ΕΜΠΟΡΙΚΗ Α.Ε.</v>
      </c>
      <c r="C32" s="30" t="str">
        <f>"0005285"</f>
        <v>0005285</v>
      </c>
      <c r="D32" s="31" t="str">
        <f>"5202409110334"</f>
        <v>5202409110334</v>
      </c>
      <c r="E32" s="31" t="str">
        <f>"ALCOOL ΑΝΤΙΣΗΠΤΙΚΟ HAND GEL OPEN 500ML"</f>
        <v>ALCOOL ΑΝΤΙΣΗΠΤΙΚΟ HAND GEL OPEN 500ML</v>
      </c>
      <c r="F32" s="19">
        <v>2.75</v>
      </c>
      <c r="G32" s="33">
        <v>0.15</v>
      </c>
      <c r="H32" s="32">
        <f t="shared" si="0"/>
        <v>2.3374999999999999</v>
      </c>
      <c r="I32" s="31"/>
      <c r="J32" s="218"/>
    </row>
    <row r="33" spans="1:10" ht="15" customHeight="1" x14ac:dyDescent="0.25">
      <c r="A33" s="6">
        <v>5201263008047</v>
      </c>
      <c r="B33" s="129" t="str">
        <f>"ADAMS PHARM ΕΜΠΟΡΙΚΗ Α.Ε."</f>
        <v>ADAMS PHARM ΕΜΠΟΡΙΚΗ Α.Ε.</v>
      </c>
      <c r="C33" s="6" t="str">
        <f>"99806"</f>
        <v>99806</v>
      </c>
      <c r="D33" s="7" t="str">
        <f>"5201263008047"</f>
        <v>5201263008047</v>
      </c>
      <c r="E33" s="7" t="str">
        <f>"WET HANKIES ΜΑΝΤΗΛΑΚΙΑ ANTIBACTERIAL x12 EXTRA SAFE"</f>
        <v>WET HANKIES ΜΑΝΤΗΛΑΚΙΑ ANTIBACTERIAL x12 EXTRA SAFE</v>
      </c>
      <c r="F33" s="19">
        <v>0.78</v>
      </c>
      <c r="G33" s="9">
        <v>0.2</v>
      </c>
      <c r="H33" s="23">
        <f t="shared" si="0"/>
        <v>0.624</v>
      </c>
      <c r="I33" s="7"/>
      <c r="J33" s="225" t="s">
        <v>15</v>
      </c>
    </row>
    <row r="34" spans="1:10" ht="15" customHeight="1" x14ac:dyDescent="0.25">
      <c r="A34" s="10">
        <v>5201263007033</v>
      </c>
      <c r="B34" s="39" t="str">
        <f>"ADAMS PHARM ΕΜΠΟΡΙΚΗ Α.Ε."</f>
        <v>ADAMS PHARM ΕΜΠΟΡΙΚΗ Α.Ε.</v>
      </c>
      <c r="C34" s="10" t="str">
        <f>"33961"</f>
        <v>33961</v>
      </c>
      <c r="D34" s="3" t="str">
        <f>"5201263007033"</f>
        <v>5201263007033</v>
      </c>
      <c r="E34" s="3" t="str">
        <f>"WET HANKIES ΜΑΝΤΗΛΑΚΙΑ x15 (ΜΠΛΕ)"</f>
        <v>WET HANKIES ΜΑΝΤΗΛΑΚΙΑ x15 (ΜΠΛΕ)</v>
      </c>
      <c r="F34" s="19">
        <v>0.72</v>
      </c>
      <c r="G34" s="5">
        <v>0.2</v>
      </c>
      <c r="H34" s="19">
        <f t="shared" si="0"/>
        <v>0.57599999999999996</v>
      </c>
      <c r="I34" s="3"/>
      <c r="J34" s="226"/>
    </row>
    <row r="35" spans="1:10" ht="15" customHeight="1" thickBot="1" x14ac:dyDescent="0.3">
      <c r="A35" s="11">
        <v>5201263007026</v>
      </c>
      <c r="B35" s="130" t="str">
        <f>"ADAMS PHARM ΕΜΠΟΡΙΚΗ Α.Ε."</f>
        <v>ADAMS PHARM ΕΜΠΟΡΙΚΗ Α.Ε.</v>
      </c>
      <c r="C35" s="11" t="str">
        <f>"33081"</f>
        <v>33081</v>
      </c>
      <c r="D35" s="12" t="str">
        <f>"5201263007026"</f>
        <v>5201263007026</v>
      </c>
      <c r="E35" s="12" t="str">
        <f>"WET HANKIES ΜΑΝΤΗΛΑΚΙΑ x15 ΛΕΜΟΝΙ (ΠΡΑΣΙΝΟ)"</f>
        <v>WET HANKIES ΜΑΝΤΗΛΑΚΙΑ x15 ΛΕΜΟΝΙ (ΠΡΑΣΙΝΟ)</v>
      </c>
      <c r="F35" s="19">
        <v>0.72</v>
      </c>
      <c r="G35" s="14">
        <v>0.2</v>
      </c>
      <c r="H35" s="28">
        <f t="shared" si="0"/>
        <v>0.57599999999999996</v>
      </c>
      <c r="I35" s="12"/>
      <c r="J35" s="227"/>
    </row>
    <row r="36" spans="1:10" ht="15" customHeight="1" x14ac:dyDescent="0.25">
      <c r="A36" s="21">
        <v>5200114527980</v>
      </c>
      <c r="B36" s="131" t="str">
        <f>"ALCOFARM MEDICAL"</f>
        <v>ALCOFARM MEDICAL</v>
      </c>
      <c r="C36" s="57" t="str">
        <f>"67325"</f>
        <v>67325</v>
      </c>
      <c r="D36" s="41" t="str">
        <f>"5200114527980"</f>
        <v>5200114527980</v>
      </c>
      <c r="E36" s="41" t="str">
        <f>"ALCOOL 70o LOTION 300ML GERM KILL"</f>
        <v>ALCOOL 70o LOTION 300ML GERM KILL</v>
      </c>
      <c r="F36" s="19">
        <v>1.6</v>
      </c>
      <c r="G36" s="43">
        <v>0.05</v>
      </c>
      <c r="H36" s="42">
        <f t="shared" si="0"/>
        <v>1.52</v>
      </c>
      <c r="I36" s="41"/>
      <c r="J36" s="218" t="s">
        <v>30</v>
      </c>
    </row>
    <row r="37" spans="1:10" ht="15" customHeight="1" x14ac:dyDescent="0.25">
      <c r="A37" s="25">
        <v>5200114528000</v>
      </c>
      <c r="B37" s="40" t="str">
        <f>"ALCOFARM MEDICAL"</f>
        <v>ALCOFARM MEDICAL</v>
      </c>
      <c r="C37" s="25" t="str">
        <f>"64105"</f>
        <v>64105</v>
      </c>
      <c r="D37" s="18" t="str">
        <f>"5200114528000"</f>
        <v>5200114528000</v>
      </c>
      <c r="E37" s="18" t="str">
        <f>"GERM KILL HAND GEL 1000ML"</f>
        <v>GERM KILL HAND GEL 1000ML</v>
      </c>
      <c r="F37" s="19">
        <v>8.6</v>
      </c>
      <c r="G37" s="20">
        <v>0.05</v>
      </c>
      <c r="H37" s="19">
        <f t="shared" si="0"/>
        <v>8.17</v>
      </c>
      <c r="I37" s="18"/>
      <c r="J37" s="218"/>
    </row>
    <row r="38" spans="1:10" ht="15" customHeight="1" x14ac:dyDescent="0.25">
      <c r="A38" s="25">
        <v>5200114528079</v>
      </c>
      <c r="B38" s="40" t="str">
        <f>"ALCOFARM MEDICAL"</f>
        <v>ALCOFARM MEDICAL</v>
      </c>
      <c r="C38" s="25" t="str">
        <f>"63465"</f>
        <v>63465</v>
      </c>
      <c r="D38" s="18" t="str">
        <f>"5200114528079"</f>
        <v>5200114528079</v>
      </c>
      <c r="E38" s="18" t="str">
        <f>"GERM KILL HAND GEL 95ML"</f>
        <v>GERM KILL HAND GEL 95ML</v>
      </c>
      <c r="F38" s="19">
        <v>2.9</v>
      </c>
      <c r="G38" s="20">
        <v>0.05</v>
      </c>
      <c r="H38" s="19">
        <f t="shared" si="0"/>
        <v>2.7549999999999999</v>
      </c>
      <c r="I38" s="18"/>
      <c r="J38" s="218"/>
    </row>
    <row r="39" spans="1:10" ht="15" customHeight="1" thickBot="1" x14ac:dyDescent="0.3">
      <c r="A39" s="26">
        <v>5200114527928</v>
      </c>
      <c r="B39" s="132" t="str">
        <f>"ALCOFARM MEDICAL"</f>
        <v>ALCOFARM MEDICAL</v>
      </c>
      <c r="C39" s="30" t="str">
        <f>"62027"</f>
        <v>62027</v>
      </c>
      <c r="D39" s="31" t="str">
        <f>"5200114527928"</f>
        <v>5200114527928</v>
      </c>
      <c r="E39" s="31" t="str">
        <f>"GERM-KILL HAND GEL 600ML"</f>
        <v>GERM-KILL HAND GEL 600ML</v>
      </c>
      <c r="F39" s="19">
        <v>5.42</v>
      </c>
      <c r="G39" s="33">
        <v>0.05</v>
      </c>
      <c r="H39" s="32">
        <f t="shared" si="0"/>
        <v>5.149</v>
      </c>
      <c r="I39" s="31"/>
      <c r="J39" s="218"/>
    </row>
    <row r="40" spans="1:10" s="2" customFormat="1" ht="15" customHeight="1" x14ac:dyDescent="0.25">
      <c r="A40" s="6">
        <v>5200141060122</v>
      </c>
      <c r="B40" s="129" t="str">
        <f>"CANNSUN MEDHEL COMMERCIAL IKE"</f>
        <v>CANNSUN MEDHEL COMMERCIAL IKE</v>
      </c>
      <c r="C40" s="6" t="str">
        <f>"67186"</f>
        <v>67186</v>
      </c>
      <c r="D40" s="7" t="str">
        <f>"5200141060122"</f>
        <v>5200141060122</v>
      </c>
      <c r="E40" s="7" t="str">
        <f>"HAND ANTISEPTIC LIQUID VPROTECT 1000ML ALCOOL 75%"</f>
        <v>HAND ANTISEPTIC LIQUID VPROTECT 1000ML ALCOOL 75%</v>
      </c>
      <c r="F40" s="19">
        <v>11</v>
      </c>
      <c r="G40" s="9">
        <v>0.05</v>
      </c>
      <c r="H40" s="23">
        <f t="shared" si="0"/>
        <v>10.45</v>
      </c>
      <c r="I40" s="7"/>
      <c r="J40" s="219" t="s">
        <v>52</v>
      </c>
    </row>
    <row r="41" spans="1:10" s="2" customFormat="1" ht="15" customHeight="1" thickBot="1" x14ac:dyDescent="0.3">
      <c r="A41" s="11">
        <v>5200141060115</v>
      </c>
      <c r="B41" s="130" t="str">
        <f>"CANNSUN MEDHEL COMMERCIAL IKE"</f>
        <v>CANNSUN MEDHEL COMMERCIAL IKE</v>
      </c>
      <c r="C41" s="11" t="str">
        <f>"67185"</f>
        <v>67185</v>
      </c>
      <c r="D41" s="12" t="str">
        <f>"5200141060115"</f>
        <v>5200141060115</v>
      </c>
      <c r="E41" s="12" t="str">
        <f>"HAND ANTISEPTIC LIQUID VPROTECT 100ML ALCOOL 75%( SPRAY )"</f>
        <v>HAND ANTISEPTIC LIQUID VPROTECT 100ML ALCOOL 75%( SPRAY )</v>
      </c>
      <c r="F41" s="19">
        <v>3.3</v>
      </c>
      <c r="G41" s="14">
        <v>0.05</v>
      </c>
      <c r="H41" s="28">
        <f t="shared" si="0"/>
        <v>3.1349999999999998</v>
      </c>
      <c r="I41" s="12"/>
      <c r="J41" s="220"/>
    </row>
    <row r="42" spans="1:10" ht="15" customHeight="1" x14ac:dyDescent="0.25">
      <c r="A42" s="21">
        <v>5200408700136</v>
      </c>
      <c r="B42" s="131" t="str">
        <f>"MEDIHELM AE"</f>
        <v>MEDIHELM AE</v>
      </c>
      <c r="C42" s="57" t="str">
        <f>"72226"</f>
        <v>72226</v>
      </c>
      <c r="D42" s="41" t="str">
        <f>"5200408700136"</f>
        <v>5200408700136</v>
      </c>
      <c r="E42" s="41" t="str">
        <f>"HAND GEL DOC ANTISEPTIC 1000ML"</f>
        <v>HAND GEL DOC ANTISEPTIC 1000ML</v>
      </c>
      <c r="F42" s="19">
        <v>5.5</v>
      </c>
      <c r="G42" s="43">
        <v>0.08</v>
      </c>
      <c r="H42" s="42">
        <f t="shared" si="0"/>
        <v>5.0599999999999996</v>
      </c>
      <c r="I42" s="41"/>
      <c r="J42" s="218" t="s">
        <v>44</v>
      </c>
    </row>
    <row r="43" spans="1:10" ht="15" customHeight="1" x14ac:dyDescent="0.25">
      <c r="A43" s="25">
        <v>5200408700082</v>
      </c>
      <c r="B43" s="40" t="str">
        <f>"DOC PHARMA A.E."</f>
        <v>DOC PHARMA A.E.</v>
      </c>
      <c r="C43" s="25" t="str">
        <f>"64625"</f>
        <v>64625</v>
      </c>
      <c r="D43" s="18" t="str">
        <f>"5200408700082"</f>
        <v>5200408700082</v>
      </c>
      <c r="E43" s="18" t="str">
        <f>"HAND GEL DOC ANTISEPTIC 100ML"</f>
        <v>HAND GEL DOC ANTISEPTIC 100ML</v>
      </c>
      <c r="F43" s="19">
        <v>1.1000000000000001</v>
      </c>
      <c r="G43" s="20">
        <v>0.08</v>
      </c>
      <c r="H43" s="19">
        <f t="shared" si="0"/>
        <v>1.012</v>
      </c>
      <c r="I43" s="18"/>
      <c r="J43" s="218"/>
    </row>
    <row r="44" spans="1:10" ht="15" customHeight="1" thickBot="1" x14ac:dyDescent="0.3">
      <c r="A44" s="26">
        <v>5200408700112</v>
      </c>
      <c r="B44" s="132" t="str">
        <f>"MEDIHELM AE"</f>
        <v>MEDIHELM AE</v>
      </c>
      <c r="C44" s="30" t="str">
        <f>"72225"</f>
        <v>72225</v>
      </c>
      <c r="D44" s="31" t="str">
        <f>"5200408700112"</f>
        <v>5200408700112</v>
      </c>
      <c r="E44" s="31" t="str">
        <f>"HAND GEL DOC ANTISEPTIC 500ML"</f>
        <v>HAND GEL DOC ANTISEPTIC 500ML</v>
      </c>
      <c r="F44" s="19">
        <v>3.1</v>
      </c>
      <c r="G44" s="33">
        <v>0.08</v>
      </c>
      <c r="H44" s="32">
        <f t="shared" si="0"/>
        <v>2.8519999999999999</v>
      </c>
      <c r="I44" s="31"/>
      <c r="J44" s="218"/>
    </row>
    <row r="45" spans="1:10" s="2" customFormat="1" ht="15" customHeight="1" thickBot="1" x14ac:dyDescent="0.3">
      <c r="A45" s="59">
        <v>5200116075502</v>
      </c>
      <c r="B45" s="134" t="str">
        <f>"ΓΚΟΥΛΕΤΣΑΣ Ν. ΧΡΗΣΤΟΣ"</f>
        <v>ΓΚΟΥΛΕΤΣΑΣ Ν. ΧΡΗΣΤΟΣ</v>
      </c>
      <c r="C45" s="51" t="str">
        <f>"66645"</f>
        <v>66645</v>
      </c>
      <c r="D45" s="52" t="str">
        <f>"5200116075502"</f>
        <v>5200116075502</v>
      </c>
      <c r="E45" s="52" t="str">
        <f>"HAND GEL AXION 500ML"</f>
        <v>HAND GEL AXION 500ML</v>
      </c>
      <c r="F45" s="19">
        <v>6.5</v>
      </c>
      <c r="G45" s="53">
        <v>0.05</v>
      </c>
      <c r="H45" s="63">
        <f t="shared" si="0"/>
        <v>6.1749999999999998</v>
      </c>
      <c r="I45" s="52"/>
      <c r="J45" s="54" t="s">
        <v>52</v>
      </c>
    </row>
    <row r="46" spans="1:10" ht="15" customHeight="1" x14ac:dyDescent="0.25">
      <c r="A46" s="21">
        <v>5203036101092</v>
      </c>
      <c r="B46" s="131" t="str">
        <f>"ΖΑΡΜΠΗ ΕI.&amp; ΣΙΑ Ε.Ε  (JOHNZ)"</f>
        <v>ΖΑΡΜΠΗ ΕI.&amp; ΣΙΑ Ε.Ε  (JOHNZ)</v>
      </c>
      <c r="C46" s="57" t="str">
        <f>"23959"</f>
        <v>23959</v>
      </c>
      <c r="D46" s="41" t="str">
        <f>"5203036101092"</f>
        <v>5203036101092</v>
      </c>
      <c r="E46" s="41" t="str">
        <f>"ALCOOL 70o 250ML ZARBIS"</f>
        <v>ALCOOL 70o 250ML ZARBIS</v>
      </c>
      <c r="F46" s="19">
        <v>1.45</v>
      </c>
      <c r="G46" s="43">
        <v>7.0000000000000007E-2</v>
      </c>
      <c r="H46" s="42">
        <f t="shared" si="0"/>
        <v>1.3485</v>
      </c>
      <c r="I46" s="41"/>
      <c r="J46" s="218" t="s">
        <v>52</v>
      </c>
    </row>
    <row r="47" spans="1:10" ht="15" customHeight="1" thickBot="1" x14ac:dyDescent="0.3">
      <c r="A47" s="26">
        <v>5203036002283</v>
      </c>
      <c r="B47" s="132" t="str">
        <f>"ΖΑΡΜΠΗ ΕI.&amp; ΣΙΑ Ε.Ε  (JOHNZ)"</f>
        <v>ΖΑΡΜΠΗ ΕI.&amp; ΣΙΑ Ε.Ε  (JOHNZ)</v>
      </c>
      <c r="C47" s="30" t="str">
        <f>"58873"</f>
        <v>58873</v>
      </c>
      <c r="D47" s="31" t="str">
        <f>"5203036002283"</f>
        <v>5203036002283</v>
      </c>
      <c r="E47" s="31" t="str">
        <f>"ALCOOL 70o SPRAY 100ML ZARBIS"</f>
        <v>ALCOOL 70o SPRAY 100ML ZARBIS</v>
      </c>
      <c r="F47" s="19">
        <v>1.45</v>
      </c>
      <c r="G47" s="33">
        <v>7.0000000000000007E-2</v>
      </c>
      <c r="H47" s="32">
        <f t="shared" si="0"/>
        <v>1.3485</v>
      </c>
      <c r="I47" s="31"/>
      <c r="J47" s="218"/>
    </row>
    <row r="48" spans="1:10" ht="15" customHeight="1" x14ac:dyDescent="0.25">
      <c r="A48" s="21">
        <v>5203036002009</v>
      </c>
      <c r="B48" s="131" t="str">
        <f>"ΖΑΡΜΠΗ ΕI.&amp; ΣΙΑ Ε.Ε  (JOHNZ)"</f>
        <v>ΖΑΡΜΠΗ ΕI.&amp; ΣΙΑ Ε.Ε  (JOHNZ)</v>
      </c>
      <c r="C48" s="21" t="str">
        <f>"63525"</f>
        <v>63525</v>
      </c>
      <c r="D48" s="22" t="str">
        <f>"5203036002009"</f>
        <v>5203036002009</v>
      </c>
      <c r="E48" s="22" t="str">
        <f>"CAMOIL HAND GEL ΛΕΜΟΝΙ 500ΜL"</f>
        <v>CAMOIL HAND GEL ΛΕΜΟΝΙ 500ΜL</v>
      </c>
      <c r="F48" s="19">
        <v>4.5</v>
      </c>
      <c r="G48" s="24">
        <v>0.08</v>
      </c>
      <c r="H48" s="23">
        <f t="shared" si="0"/>
        <v>4.1399999999999997</v>
      </c>
      <c r="I48" s="22"/>
      <c r="J48" s="221" t="s">
        <v>31</v>
      </c>
    </row>
    <row r="49" spans="1:10" ht="15" customHeight="1" thickBot="1" x14ac:dyDescent="0.3">
      <c r="A49" s="26">
        <v>5203036001651</v>
      </c>
      <c r="B49" s="132" t="str">
        <f>"ΖΑΡΜΠΗ ΕI.&amp; ΣΙΑ Ε.Ε  (JOHNZ)"</f>
        <v>ΖΑΡΜΠΗ ΕI.&amp; ΣΙΑ Ε.Ε  (JOHNZ)</v>
      </c>
      <c r="C49" s="26" t="str">
        <f>"30963"</f>
        <v>30963</v>
      </c>
      <c r="D49" s="27" t="str">
        <f>"5203036001651"</f>
        <v>5203036001651</v>
      </c>
      <c r="E49" s="27" t="str">
        <f>"CAMOIL HAND GEL ΛΕΜΟΝΙ 80ML"</f>
        <v>CAMOIL HAND GEL ΛΕΜΟΝΙ 80ML</v>
      </c>
      <c r="F49" s="19">
        <v>1.9</v>
      </c>
      <c r="G49" s="29">
        <v>0.08</v>
      </c>
      <c r="H49" s="28">
        <f t="shared" si="0"/>
        <v>1.748</v>
      </c>
      <c r="I49" s="27"/>
      <c r="J49" s="222"/>
    </row>
    <row r="50" spans="1:10" ht="15" customHeight="1" x14ac:dyDescent="0.25">
      <c r="A50" s="21">
        <v>4031678072125</v>
      </c>
      <c r="B50" s="131" t="str">
        <f>"ΣΥΝΔΕΣΜΟΣ Α.Ε."</f>
        <v>ΣΥΝΔΕΣΜΟΣ Α.Ε.</v>
      </c>
      <c r="C50" s="57" t="str">
        <f>"30240"</f>
        <v>30240</v>
      </c>
      <c r="D50" s="41" t="str">
        <f>"4031678072125"</f>
        <v>4031678072125</v>
      </c>
      <c r="E50" s="41" t="str">
        <f>"MANUSEPT GEL 100ML"</f>
        <v>MANUSEPT GEL 100ML</v>
      </c>
      <c r="F50" s="19">
        <v>2.61</v>
      </c>
      <c r="G50" s="43">
        <v>0.15</v>
      </c>
      <c r="H50" s="42">
        <f t="shared" si="0"/>
        <v>2.2184999999999997</v>
      </c>
      <c r="I50" s="41"/>
      <c r="J50" s="223" t="s">
        <v>131</v>
      </c>
    </row>
    <row r="51" spans="1:10" ht="15" customHeight="1" x14ac:dyDescent="0.25">
      <c r="A51" s="25">
        <v>4031678072149</v>
      </c>
      <c r="B51" s="40" t="str">
        <f>"ΣΥΝΔΕΣΜΟΣ Α.Ε."</f>
        <v>ΣΥΝΔΕΣΜΟΣ Α.Ε.</v>
      </c>
      <c r="C51" s="25" t="str">
        <f>"35619"</f>
        <v>35619</v>
      </c>
      <c r="D51" s="18" t="str">
        <f>"4031678072149"</f>
        <v>4031678072149</v>
      </c>
      <c r="E51" s="18" t="str">
        <f>"MANUSEPT GEL 475ML ΑΝΤΑΛΛΑΚΤΙΚΟ"</f>
        <v>MANUSEPT GEL 475ML ΑΝΤΑΛΛΑΚΤΙΚΟ</v>
      </c>
      <c r="F51" s="19">
        <v>7.85</v>
      </c>
      <c r="G51" s="20">
        <v>0.15</v>
      </c>
      <c r="H51" s="19">
        <f t="shared" si="0"/>
        <v>6.6724999999999994</v>
      </c>
      <c r="I51" s="18"/>
      <c r="J51" s="223"/>
    </row>
    <row r="52" spans="1:10" ht="15" customHeight="1" thickBot="1" x14ac:dyDescent="0.3">
      <c r="A52" s="26">
        <v>4031678072132</v>
      </c>
      <c r="B52" s="132" t="str">
        <f>"ΣΥΝΔΕΣΜΟΣ Α.Ε."</f>
        <v>ΣΥΝΔΕΣΜΟΣ Α.Ε.</v>
      </c>
      <c r="C52" s="30" t="str">
        <f>"31419"</f>
        <v>31419</v>
      </c>
      <c r="D52" s="31" t="str">
        <f>"4031678072132"</f>
        <v>4031678072132</v>
      </c>
      <c r="E52" s="31" t="str">
        <f>"MANUSEPT GEL 475ML ΜΕ ΑΝΤΛΙΑ"</f>
        <v>MANUSEPT GEL 475ML ΜΕ ΑΝΤΛΙΑ</v>
      </c>
      <c r="F52" s="19">
        <v>8.4499999999999993</v>
      </c>
      <c r="G52" s="33">
        <v>0.15</v>
      </c>
      <c r="H52" s="32">
        <f t="shared" si="0"/>
        <v>7.1824999999999992</v>
      </c>
      <c r="I52" s="31"/>
      <c r="J52" s="223"/>
    </row>
    <row r="53" spans="1:10" ht="15" customHeight="1" thickBot="1" x14ac:dyDescent="0.3">
      <c r="A53" s="51">
        <v>5202888224270</v>
      </c>
      <c r="B53" s="128" t="str">
        <f>"FREZYDERM A.B.E.E."</f>
        <v>FREZYDERM A.B.E.E.</v>
      </c>
      <c r="C53" s="51" t="str">
        <f>"049"</f>
        <v>049</v>
      </c>
      <c r="D53" s="52" t="str">
        <f>"5202888224270"</f>
        <v>5202888224270</v>
      </c>
      <c r="E53" s="52" t="str">
        <f>"FREZYDERM LICE REP EXTREME REPELLENT SPRAY 150ML"</f>
        <v>FREZYDERM LICE REP EXTREME REPELLENT SPRAY 150ML</v>
      </c>
      <c r="F53" s="19">
        <v>8.68</v>
      </c>
      <c r="G53" s="53">
        <v>0.08</v>
      </c>
      <c r="H53" s="63">
        <f t="shared" si="0"/>
        <v>7.9855999999999998</v>
      </c>
      <c r="I53" s="52"/>
      <c r="J53" s="54" t="s">
        <v>31</v>
      </c>
    </row>
    <row r="54" spans="1:10" ht="15" customHeight="1" x14ac:dyDescent="0.25">
      <c r="A54" s="21">
        <v>5391520949708</v>
      </c>
      <c r="B54" s="131" t="str">
        <f>"OMEGA PHARMA HELLAS A.E."</f>
        <v>OMEGA PHARMA HELLAS A.E.</v>
      </c>
      <c r="C54" s="57" t="str">
        <f>"73785"</f>
        <v>73785</v>
      </c>
      <c r="D54" s="41" t="str">
        <f>"5391520949708"</f>
        <v>5391520949708</v>
      </c>
      <c r="E54" s="41" t="str">
        <f>"PARANIX EXTRA STRONG SPRAY 100ML + ΚΤΕΝΑ"</f>
        <v>PARANIX EXTRA STRONG SPRAY 100ML + ΚΤΕΝΑ</v>
      </c>
      <c r="F54" s="19">
        <v>11.89</v>
      </c>
      <c r="G54" s="43">
        <v>0.05</v>
      </c>
      <c r="H54" s="42">
        <f t="shared" si="0"/>
        <v>11.295500000000001</v>
      </c>
      <c r="I54" s="41"/>
      <c r="J54" s="223" t="s">
        <v>51</v>
      </c>
    </row>
    <row r="55" spans="1:10" ht="15" customHeight="1" x14ac:dyDescent="0.25">
      <c r="A55" s="25">
        <v>8004283116023</v>
      </c>
      <c r="B55" s="40" t="str">
        <f>"OMEGA PHARMA HELLAS A.E."</f>
        <v>OMEGA PHARMA HELLAS A.E.</v>
      </c>
      <c r="C55" s="25" t="str">
        <f>"*2365"</f>
        <v>*2365</v>
      </c>
      <c r="D55" s="18" t="str">
        <f>"8004283116023"</f>
        <v>8004283116023</v>
      </c>
      <c r="E55" s="18" t="str">
        <f>"PARANIX PREVENT 100ML"</f>
        <v>PARANIX PREVENT 100ML</v>
      </c>
      <c r="F55" s="19">
        <v>6.15</v>
      </c>
      <c r="G55" s="20">
        <v>0.05</v>
      </c>
      <c r="H55" s="19">
        <f t="shared" si="0"/>
        <v>5.8425000000000002</v>
      </c>
      <c r="I55" s="18"/>
      <c r="J55" s="223"/>
    </row>
    <row r="56" spans="1:10" ht="15" customHeight="1" x14ac:dyDescent="0.25">
      <c r="A56" s="25">
        <v>5400951990248</v>
      </c>
      <c r="B56" s="40" t="str">
        <f>"OMEGA PHARMA HELLAS A.E."</f>
        <v>OMEGA PHARMA HELLAS A.E.</v>
      </c>
      <c r="C56" s="25" t="str">
        <f>"99187"</f>
        <v>99187</v>
      </c>
      <c r="D56" s="18" t="str">
        <f>"5400951990248"</f>
        <v>5400951990248</v>
      </c>
      <c r="E56" s="18" t="str">
        <f>"PARANIX PROTECTION SPRAY BOY 250ML"</f>
        <v>PARANIX PROTECTION SPRAY BOY 250ML</v>
      </c>
      <c r="F56" s="19">
        <v>6.27</v>
      </c>
      <c r="G56" s="20">
        <v>0.05</v>
      </c>
      <c r="H56" s="19">
        <f t="shared" si="0"/>
        <v>5.9564999999999992</v>
      </c>
      <c r="I56" s="18"/>
      <c r="J56" s="223"/>
    </row>
    <row r="57" spans="1:10" ht="15" customHeight="1" thickBot="1" x14ac:dyDescent="0.3">
      <c r="A57" s="26">
        <v>5400951990255</v>
      </c>
      <c r="B57" s="132" t="str">
        <f>"OMEGA PHARMA HELLAS A.E."</f>
        <v>OMEGA PHARMA HELLAS A.E.</v>
      </c>
      <c r="C57" s="30" t="str">
        <f>"99188"</f>
        <v>99188</v>
      </c>
      <c r="D57" s="31" t="str">
        <f>"5400951990255"</f>
        <v>5400951990255</v>
      </c>
      <c r="E57" s="31" t="str">
        <f>"PARANIX PROTECTION SPRAY GIRL 250ML"</f>
        <v>PARANIX PROTECTION SPRAY GIRL 250ML</v>
      </c>
      <c r="F57" s="19">
        <v>6.27</v>
      </c>
      <c r="G57" s="33">
        <v>0.05</v>
      </c>
      <c r="H57" s="32">
        <f t="shared" si="0"/>
        <v>5.9564999999999992</v>
      </c>
      <c r="I57" s="31"/>
      <c r="J57" s="223"/>
    </row>
    <row r="58" spans="1:10" ht="15.75" thickBot="1" x14ac:dyDescent="0.3">
      <c r="A58" s="66">
        <v>5202960402091</v>
      </c>
      <c r="B58" s="135" t="str">
        <f>"ADAMS PHARM ΕΜΠΟΡΙΚΗ Α.Ε."</f>
        <v>ADAMS PHARM ΕΜΠΟΡΙΚΗ Α.Ε.</v>
      </c>
      <c r="C58" s="51" t="str">
        <f>"10022"</f>
        <v>10022</v>
      </c>
      <c r="D58" s="52" t="str">
        <f>"5202960402091"</f>
        <v>5202960402091</v>
      </c>
      <c r="E58" s="52" t="str">
        <f>"ΑΜΜΩΝΙΑ STICK LANOVA 14ML"</f>
        <v>ΑΜΜΩΝΙΑ STICK LANOVA 14ML</v>
      </c>
      <c r="F58" s="19">
        <v>0.62</v>
      </c>
      <c r="G58" s="53">
        <v>0.18</v>
      </c>
      <c r="H58" s="63">
        <f t="shared" si="0"/>
        <v>0.50839999999999996</v>
      </c>
      <c r="I58" s="52"/>
      <c r="J58" s="54" t="s">
        <v>48</v>
      </c>
    </row>
    <row r="59" spans="1:10" ht="15" customHeight="1" thickBot="1" x14ac:dyDescent="0.3">
      <c r="A59" s="61">
        <v>5200138630123</v>
      </c>
      <c r="B59" s="136" t="str">
        <f>"VIVAX ΦΑΡΜΑΚΕΥΤΙΚΗ ΕΠΕ"</f>
        <v>VIVAX ΦΑΡΜΑΚΕΥΤΙΚΗ ΕΠΕ</v>
      </c>
      <c r="C59" s="72" t="str">
        <f>"53601"</f>
        <v>53601</v>
      </c>
      <c r="D59" s="73" t="str">
        <f>"5200138630123"</f>
        <v>5200138630123</v>
      </c>
      <c r="E59" s="73" t="str">
        <f>"ΑΜΜΩΝΙΑ STICK VIVAX 12ML"</f>
        <v>ΑΜΜΩΝΙΑ STICK VIVAX 12ML</v>
      </c>
      <c r="F59" s="19">
        <v>0.64</v>
      </c>
      <c r="G59" s="75">
        <v>0.2</v>
      </c>
      <c r="H59" s="74">
        <f t="shared" si="0"/>
        <v>0.51200000000000001</v>
      </c>
      <c r="I59" s="73"/>
      <c r="J59" s="108" t="s">
        <v>61</v>
      </c>
    </row>
    <row r="60" spans="1:10" s="2" customFormat="1" ht="30" customHeight="1" thickBot="1" x14ac:dyDescent="0.3">
      <c r="A60" s="106">
        <v>5213006870002</v>
      </c>
      <c r="B60" s="137" t="str">
        <f>"ΒΙΑΝ Α.Ε"</f>
        <v>ΒΙΑΝ Α.Ε</v>
      </c>
      <c r="C60" s="81" t="str">
        <f>"27065"</f>
        <v>27065</v>
      </c>
      <c r="D60" s="82" t="str">
        <f>"5213006870002"</f>
        <v>5213006870002</v>
      </c>
      <c r="E60" s="82" t="str">
        <f>"SUPERFOODS SLIM DETOX 300ML"</f>
        <v>SUPERFOODS SLIM DETOX 300ML</v>
      </c>
      <c r="F60" s="19">
        <v>10.46</v>
      </c>
      <c r="G60" s="83">
        <v>0.05</v>
      </c>
      <c r="H60" s="63">
        <f t="shared" ref="H60:H110" si="1">F60-F60*G60</f>
        <v>9.9370000000000012</v>
      </c>
      <c r="I60" s="82"/>
      <c r="J60" s="84" t="s">
        <v>22</v>
      </c>
    </row>
    <row r="61" spans="1:10" ht="15" customHeight="1" thickBot="1" x14ac:dyDescent="0.3">
      <c r="A61" s="25">
        <v>5213006870811</v>
      </c>
      <c r="B61" s="40" t="str">
        <f>"ΒΙΑΝ Α.Ε"</f>
        <v>ΒΙΑΝ Α.Ε</v>
      </c>
      <c r="C61" s="72" t="str">
        <f>"112885"</f>
        <v>112885</v>
      </c>
      <c r="D61" s="73" t="str">
        <f>"5213006870811"</f>
        <v>5213006870811</v>
      </c>
      <c r="E61" s="73" t="str">
        <f>"SUPERFOODS S FORM 30 ΚΑΡΑΜΕΛΕΣ ΓΕΥΣΗ ΦΡΑΟΥΛΑ"</f>
        <v>SUPERFOODS S FORM 30 ΚΑΡΑΜΕΛΕΣ ΓΕΥΣΗ ΦΡΑΟΥΛΑ</v>
      </c>
      <c r="F61" s="19">
        <v>14.3</v>
      </c>
      <c r="G61" s="75">
        <v>0.05</v>
      </c>
      <c r="H61" s="74">
        <f t="shared" si="1"/>
        <v>13.585000000000001</v>
      </c>
      <c r="I61" s="73"/>
      <c r="J61" s="108" t="s">
        <v>30</v>
      </c>
    </row>
    <row r="62" spans="1:10" s="2" customFormat="1" ht="15" customHeight="1" x14ac:dyDescent="0.25">
      <c r="A62" s="10">
        <v>5213005010034</v>
      </c>
      <c r="B62" s="39" t="str">
        <f>"ΦΑΡΜΑΣΕΡΒΙΣ ΑΕ"</f>
        <v>ΦΑΡΜΑΣΕΡΒΙΣ ΑΕ</v>
      </c>
      <c r="C62" s="6" t="str">
        <f>"31538"</f>
        <v>31538</v>
      </c>
      <c r="D62" s="7" t="str">
        <f>"5213005010034"</f>
        <v>5213005010034</v>
      </c>
      <c r="E62" s="7" t="str">
        <f>"IOVIR NASAL SPRAY 20ML"</f>
        <v>IOVIR NASAL SPRAY 20ML</v>
      </c>
      <c r="F62" s="19">
        <v>9.9</v>
      </c>
      <c r="G62" s="9">
        <v>0.25</v>
      </c>
      <c r="H62" s="23">
        <f t="shared" si="1"/>
        <v>7.4250000000000007</v>
      </c>
      <c r="I62" s="7"/>
      <c r="J62" s="103" t="s">
        <v>39</v>
      </c>
    </row>
    <row r="63" spans="1:10" s="2" customFormat="1" ht="15" customHeight="1" x14ac:dyDescent="0.25">
      <c r="A63" s="10">
        <v>5213005010041</v>
      </c>
      <c r="B63" s="39" t="str">
        <f>"ΦΑΡΜΑΣΕΡΒΙΣ ΑΕ"</f>
        <v>ΦΑΡΜΑΣΕΡΒΙΣ ΑΕ</v>
      </c>
      <c r="C63" s="10" t="str">
        <f>"31539"</f>
        <v>31539</v>
      </c>
      <c r="D63" s="3" t="str">
        <f>"5213005010041"</f>
        <v>5213005010041</v>
      </c>
      <c r="E63" s="3" t="str">
        <f>"IOVIR PLUS NASAL SPRAY 20ML"</f>
        <v>IOVIR PLUS NASAL SPRAY 20ML</v>
      </c>
      <c r="F63" s="19">
        <v>10.15</v>
      </c>
      <c r="G63" s="5">
        <v>0.25</v>
      </c>
      <c r="H63" s="19">
        <f t="shared" si="1"/>
        <v>7.6125000000000007</v>
      </c>
      <c r="I63" s="3"/>
      <c r="J63" s="104"/>
    </row>
    <row r="64" spans="1:10" s="2" customFormat="1" ht="15" customHeight="1" thickBot="1" x14ac:dyDescent="0.3">
      <c r="A64" s="10">
        <v>5213005010010</v>
      </c>
      <c r="B64" s="39" t="str">
        <f>"ΦΑΡΜΑΣΕΡΒΙΣ ΑΕ"</f>
        <v>ΦΑΡΜΑΣΕΡΒΙΣ ΑΕ</v>
      </c>
      <c r="C64" s="11" t="str">
        <f>"16784"</f>
        <v>16784</v>
      </c>
      <c r="D64" s="12" t="str">
        <f>"5213005010010"</f>
        <v>5213005010010</v>
      </c>
      <c r="E64" s="12" t="str">
        <f>"IOVIR THROAT SPRAY 20ML (ΚΕΡΑΣΙ)"</f>
        <v>IOVIR THROAT SPRAY 20ML (ΚΕΡΑΣΙ)</v>
      </c>
      <c r="F64" s="19">
        <v>9.5</v>
      </c>
      <c r="G64" s="14">
        <v>0.25</v>
      </c>
      <c r="H64" s="28">
        <f t="shared" si="1"/>
        <v>7.125</v>
      </c>
      <c r="I64" s="12"/>
      <c r="J64" s="105"/>
    </row>
    <row r="65" spans="1:10" ht="15" customHeight="1" x14ac:dyDescent="0.25">
      <c r="A65" s="25">
        <v>5200001009650</v>
      </c>
      <c r="B65" s="40" t="str">
        <f>"A.S.K. PHARMACEUTICAL Μ.Ε.Π.Ε."</f>
        <v>A.S.K. PHARMACEUTICAL Μ.Ε.Π.Ε.</v>
      </c>
      <c r="C65" s="57" t="str">
        <f>"100965"</f>
        <v>100965</v>
      </c>
      <c r="D65" s="41" t="str">
        <f>"5200001009650"</f>
        <v>5200001009650</v>
      </c>
      <c r="E65" s="41" t="str">
        <f>"PHARYNX THROAT LOZENGES x10"</f>
        <v>PHARYNX THROAT LOZENGES x10</v>
      </c>
      <c r="F65" s="19">
        <v>5.26</v>
      </c>
      <c r="G65" s="43">
        <v>0.1</v>
      </c>
      <c r="H65" s="42">
        <f t="shared" si="1"/>
        <v>4.734</v>
      </c>
      <c r="I65" s="41"/>
      <c r="J65" s="58" t="s">
        <v>9</v>
      </c>
    </row>
    <row r="66" spans="1:10" s="2" customFormat="1" ht="15" customHeight="1" x14ac:dyDescent="0.25">
      <c r="A66" s="10">
        <v>8000036021248</v>
      </c>
      <c r="B66" s="39" t="str">
        <f>"ANGELINI PHARMA HELLAS ΑΒΕΕ"</f>
        <v>ANGELINI PHARMA HELLAS ΑΒΕΕ</v>
      </c>
      <c r="C66" s="10" t="str">
        <f>"36060"</f>
        <v>36060</v>
      </c>
      <c r="D66" s="3" t="str">
        <f>"8000036021248"</f>
        <v>8000036021248</v>
      </c>
      <c r="E66" s="3" t="str">
        <f>"PROPOL VERDE LEMON &amp; HONEY (TANTUM) 15CAPS"</f>
        <v>PROPOL VERDE LEMON &amp; HONEY (TANTUM) 15CAPS</v>
      </c>
      <c r="F66" s="19">
        <v>3.23</v>
      </c>
      <c r="G66" s="5">
        <v>0.1</v>
      </c>
      <c r="H66" s="19">
        <f t="shared" si="1"/>
        <v>2.907</v>
      </c>
      <c r="I66" s="3"/>
      <c r="J66" s="229" t="s">
        <v>49</v>
      </c>
    </row>
    <row r="67" spans="1:10" s="2" customFormat="1" ht="15" customHeight="1" x14ac:dyDescent="0.25">
      <c r="A67" s="15">
        <v>8000036021255</v>
      </c>
      <c r="B67" s="99" t="str">
        <f>"ANGELINI PHARMA HELLAS ΑΒΕΕ"</f>
        <v>ANGELINI PHARMA HELLAS ΑΒΕΕ</v>
      </c>
      <c r="C67" s="15" t="str">
        <f>"36059"</f>
        <v>36059</v>
      </c>
      <c r="D67" s="16" t="str">
        <f>"8000036021255"</f>
        <v>8000036021255</v>
      </c>
      <c r="E67" s="16" t="str">
        <f>"PROPOL VERDE ORANGE &amp; HONEY(TANTUM) 15CAPS"</f>
        <v>PROPOL VERDE ORANGE &amp; HONEY(TANTUM) 15CAPS</v>
      </c>
      <c r="F67" s="19">
        <v>3.23</v>
      </c>
      <c r="G67" s="17">
        <v>0.1</v>
      </c>
      <c r="H67" s="32">
        <f t="shared" si="1"/>
        <v>2.907</v>
      </c>
      <c r="I67" s="16"/>
      <c r="J67" s="224"/>
    </row>
    <row r="68" spans="1:10" ht="15" customHeight="1" x14ac:dyDescent="0.25">
      <c r="A68" s="25">
        <v>5201279078492</v>
      </c>
      <c r="B68" s="40" t="str">
        <f t="shared" ref="B68:B73" si="2">"APIVITA A.E."</f>
        <v>APIVITA A.E.</v>
      </c>
      <c r="C68" s="25" t="str">
        <f>"051611"</f>
        <v>051611</v>
      </c>
      <c r="D68" s="18" t="str">
        <f>"5201279078492"</f>
        <v>5201279078492</v>
      </c>
      <c r="E68" s="18" t="str">
        <f>"APIVITA PASTILIES ΓΛΥΚΟΡΙΖΑ-ΠΡΟΠΟΛΗ 45GR"</f>
        <v>APIVITA PASTILIES ΓΛΥΚΟΡΙΖΑ-ΠΡΟΠΟΛΗ 45GR</v>
      </c>
      <c r="F68" s="19">
        <v>3.25</v>
      </c>
      <c r="G68" s="20">
        <v>7.0000000000000007E-2</v>
      </c>
      <c r="H68" s="19">
        <f t="shared" si="1"/>
        <v>3.0225</v>
      </c>
      <c r="I68" s="18"/>
      <c r="J68" s="223"/>
    </row>
    <row r="69" spans="1:10" ht="15" customHeight="1" x14ac:dyDescent="0.25">
      <c r="A69" s="25">
        <v>5201279078508</v>
      </c>
      <c r="B69" s="40" t="str">
        <f t="shared" si="2"/>
        <v>APIVITA A.E.</v>
      </c>
      <c r="C69" s="25" t="str">
        <f>"053849"</f>
        <v>053849</v>
      </c>
      <c r="D69" s="18" t="str">
        <f>"5201279078508"</f>
        <v>5201279078508</v>
      </c>
      <c r="E69" s="18" t="str">
        <f>"APIVITA PASTILIES ΘΥΜΑΡΙ-ΜΕΛΙ 45GR"</f>
        <v>APIVITA PASTILIES ΘΥΜΑΡΙ-ΜΕΛΙ 45GR</v>
      </c>
      <c r="F69" s="19">
        <v>3.25</v>
      </c>
      <c r="G69" s="20">
        <v>7.0000000000000007E-2</v>
      </c>
      <c r="H69" s="19">
        <f t="shared" si="1"/>
        <v>3.0225</v>
      </c>
      <c r="I69" s="18"/>
      <c r="J69" s="223"/>
    </row>
    <row r="70" spans="1:10" ht="15" customHeight="1" thickBot="1" x14ac:dyDescent="0.3">
      <c r="A70" s="26">
        <v>5201279078522</v>
      </c>
      <c r="B70" s="132" t="str">
        <f t="shared" si="2"/>
        <v>APIVITA A.E.</v>
      </c>
      <c r="C70" s="26" t="str">
        <f>"050701"</f>
        <v>050701</v>
      </c>
      <c r="D70" s="27" t="str">
        <f>"5201279078522"</f>
        <v>5201279078522</v>
      </c>
      <c r="E70" s="27" t="str">
        <f>"APIVITA PASTILLES ΕΥΚΑΛΥΠΤΟΣ-ΠΡΟΠΟΛΗ 45GR"</f>
        <v>APIVITA PASTILLES ΕΥΚΑΛΥΠΤΟΣ-ΠΡΟΠΟΛΗ 45GR</v>
      </c>
      <c r="F70" s="19">
        <v>3.25</v>
      </c>
      <c r="G70" s="29">
        <v>7.0000000000000007E-2</v>
      </c>
      <c r="H70" s="28">
        <f t="shared" si="1"/>
        <v>3.0225</v>
      </c>
      <c r="I70" s="27"/>
      <c r="J70" s="228"/>
    </row>
    <row r="71" spans="1:10" ht="15" customHeight="1" x14ac:dyDescent="0.25">
      <c r="A71" s="55">
        <v>5201279085438</v>
      </c>
      <c r="B71" s="138" t="str">
        <f t="shared" si="2"/>
        <v>APIVITA A.E.</v>
      </c>
      <c r="C71" s="55" t="str">
        <f>"4549"</f>
        <v>4549</v>
      </c>
      <c r="D71" s="47" t="str">
        <f>"5201279085438"</f>
        <v>5201279085438</v>
      </c>
      <c r="E71" s="47" t="str">
        <f>"APIVITA PROPOLIS ΒΙΟΛΟΓΙΚΟ SPRAY 30ML"</f>
        <v>APIVITA PROPOLIS ΒΙΟΛΟΓΙΚΟ SPRAY 30ML</v>
      </c>
      <c r="F71" s="19">
        <v>7.95</v>
      </c>
      <c r="G71" s="48">
        <v>7.0000000000000007E-2</v>
      </c>
      <c r="H71" s="42">
        <f t="shared" si="1"/>
        <v>7.3935000000000004</v>
      </c>
      <c r="I71" s="47"/>
      <c r="J71" s="226" t="s">
        <v>25</v>
      </c>
    </row>
    <row r="72" spans="1:10" ht="15" customHeight="1" x14ac:dyDescent="0.25">
      <c r="A72" s="10">
        <v>5201279085421</v>
      </c>
      <c r="B72" s="39" t="str">
        <f t="shared" si="2"/>
        <v>APIVITA A.E.</v>
      </c>
      <c r="C72" s="10" t="str">
        <f>"12939"</f>
        <v>12939</v>
      </c>
      <c r="D72" s="3" t="str">
        <f>"5201279085421"</f>
        <v>5201279085421</v>
      </c>
      <c r="E72" s="3" t="str">
        <f>"APIVITA PROPOLIS ΒΙΟΛΟΓΙΚΟ ΔΙΑΛΥΜΑ 50ML ΠΡΟΠΟΛΗ"</f>
        <v>APIVITA PROPOLIS ΒΙΟΛΟΓΙΚΟ ΔΙΑΛΥΜΑ 50ML ΠΡΟΠΟΛΗ</v>
      </c>
      <c r="F72" s="19">
        <v>9.15</v>
      </c>
      <c r="G72" s="5">
        <v>7.0000000000000007E-2</v>
      </c>
      <c r="H72" s="19">
        <f t="shared" si="1"/>
        <v>8.509500000000001</v>
      </c>
      <c r="I72" s="3"/>
      <c r="J72" s="226"/>
    </row>
    <row r="73" spans="1:10" ht="15" customHeight="1" thickBot="1" x14ac:dyDescent="0.3">
      <c r="A73" s="15">
        <v>5201279085452</v>
      </c>
      <c r="B73" s="99" t="str">
        <f t="shared" si="2"/>
        <v>APIVITA A.E.</v>
      </c>
      <c r="C73" s="15" t="str">
        <f>"000654"</f>
        <v>000654</v>
      </c>
      <c r="D73" s="16" t="str">
        <f>"5201279085452"</f>
        <v>5201279085452</v>
      </c>
      <c r="E73" s="16" t="str">
        <f>"APIVITA PROPOLIS ΒΙΟΛΟΓΙΚΟ ΣΙΡΟΠΙ ΠΑΙΔΙΚΟ 150ML ΘΥΜΑΡΙ &amp; ΜΕΛΙ"</f>
        <v>APIVITA PROPOLIS ΒΙΟΛΟΓΙΚΟ ΣΙΡΟΠΙ ΠΑΙΔΙΚΟ 150ML ΘΥΜΑΡΙ &amp; ΜΕΛΙ</v>
      </c>
      <c r="F73" s="19">
        <v>9.8000000000000007</v>
      </c>
      <c r="G73" s="17">
        <v>7.0000000000000007E-2</v>
      </c>
      <c r="H73" s="32">
        <f t="shared" si="1"/>
        <v>9.1140000000000008</v>
      </c>
      <c r="I73" s="16"/>
      <c r="J73" s="226"/>
    </row>
    <row r="74" spans="1:10" ht="15" customHeight="1" x14ac:dyDescent="0.25">
      <c r="A74" s="21">
        <v>5200309857014</v>
      </c>
      <c r="B74" s="131" t="str">
        <f>"BAYER ΕΛΛΑΣ Α.Β.Ε.Ε."</f>
        <v>BAYER ΕΛΛΑΣ Α.Β.Ε.Ε.</v>
      </c>
      <c r="C74" s="21" t="str">
        <f>"052852"</f>
        <v>052852</v>
      </c>
      <c r="D74" s="22" t="str">
        <f>"5200309857014"</f>
        <v>5200309857014</v>
      </c>
      <c r="E74" s="22" t="str">
        <f>"CAL-C VITA EFF.TABL. x15"</f>
        <v>CAL-C VITA EFF.TABL. x15</v>
      </c>
      <c r="F74" s="19">
        <v>4.9000000000000004</v>
      </c>
      <c r="G74" s="24">
        <v>0.08</v>
      </c>
      <c r="H74" s="23">
        <f t="shared" si="1"/>
        <v>4.508</v>
      </c>
      <c r="I74" s="22"/>
      <c r="J74" s="221" t="s">
        <v>16</v>
      </c>
    </row>
    <row r="75" spans="1:10" ht="15" customHeight="1" x14ac:dyDescent="0.25">
      <c r="A75" s="25">
        <v>5200309853085</v>
      </c>
      <c r="B75" s="40" t="str">
        <f>"BAYER ΕΛΛΑΣ Α.Β.Ε.Ε."</f>
        <v>BAYER ΕΛΛΑΣ Α.Β.Ε.Ε.</v>
      </c>
      <c r="C75" s="25" t="str">
        <f>"103285"</f>
        <v>103285</v>
      </c>
      <c r="D75" s="18" t="str">
        <f>"5200309853085"</f>
        <v>5200309853085</v>
      </c>
      <c r="E75" s="18" t="str">
        <f>"REDOXON DEFENCE 15 TABS ORANGE FLAVOR"</f>
        <v>REDOXON DEFENCE 15 TABS ORANGE FLAVOR</v>
      </c>
      <c r="F75" s="19">
        <v>6.55</v>
      </c>
      <c r="G75" s="20">
        <v>0.08</v>
      </c>
      <c r="H75" s="19">
        <f t="shared" si="1"/>
        <v>6.0259999999999998</v>
      </c>
      <c r="I75" s="18"/>
      <c r="J75" s="218"/>
    </row>
    <row r="76" spans="1:10" ht="15" customHeight="1" thickBot="1" x14ac:dyDescent="0.3">
      <c r="A76" s="26">
        <v>5200309854068</v>
      </c>
      <c r="B76" s="132" t="str">
        <f>"BAYER ΕΛΛΑΣ Α.Β.Ε.Ε."</f>
        <v>BAYER ΕΛΛΑΣ Α.Β.Ε.Ε.</v>
      </c>
      <c r="C76" s="26" t="str">
        <f>"052786"</f>
        <v>052786</v>
      </c>
      <c r="D76" s="27" t="str">
        <f>"5200309854068"</f>
        <v>5200309854068</v>
      </c>
      <c r="E76" s="27" t="str">
        <f>"SUPRADYN ENERGY EFF.TABL. x15 +1 TEM ΔΩΡΟ"</f>
        <v>SUPRADYN ENERGY EFF.TABL. x15 +1 TEM ΔΩΡΟ</v>
      </c>
      <c r="F76" s="19">
        <v>8</v>
      </c>
      <c r="G76" s="29">
        <v>0.08</v>
      </c>
      <c r="H76" s="28">
        <f t="shared" si="1"/>
        <v>7.36</v>
      </c>
      <c r="I76" s="27"/>
      <c r="J76" s="222"/>
    </row>
    <row r="77" spans="1:10" s="2" customFormat="1" ht="15.75" thickBot="1" x14ac:dyDescent="0.3">
      <c r="A77" s="15">
        <v>5200107621350</v>
      </c>
      <c r="B77" s="99" t="str">
        <f>"ERGOPHARM IMPROVES NATURE"</f>
        <v>ERGOPHARM IMPROVES NATURE</v>
      </c>
      <c r="C77" s="59" t="str">
        <f>"33940"</f>
        <v>33940</v>
      </c>
      <c r="D77" s="49" t="str">
        <f>"5200107621350"</f>
        <v>5200107621350</v>
      </c>
      <c r="E77" s="49" t="str">
        <f>"VITAVIX SYRUP 200ML HONEY - LEMON"</f>
        <v>VITAVIX SYRUP 200ML HONEY - LEMON</v>
      </c>
      <c r="F77" s="19">
        <v>6.9</v>
      </c>
      <c r="G77" s="50">
        <v>0.2</v>
      </c>
      <c r="H77" s="74">
        <f t="shared" si="1"/>
        <v>5.5200000000000005</v>
      </c>
      <c r="I77" s="49"/>
      <c r="J77" s="60" t="s">
        <v>63</v>
      </c>
    </row>
    <row r="78" spans="1:10" ht="15" customHeight="1" x14ac:dyDescent="0.25">
      <c r="A78" s="86">
        <v>5200408700266</v>
      </c>
      <c r="B78" s="139" t="str">
        <f>"DOC PHARMA A.E."</f>
        <v>DOC PHARMA A.E.</v>
      </c>
      <c r="C78" s="86" t="str">
        <f>"99007"</f>
        <v>99007</v>
      </c>
      <c r="D78" s="87" t="str">
        <f>"5200408700266"</f>
        <v>5200408700266</v>
      </c>
      <c r="E78" s="87" t="str">
        <f>"DOC VITAMIN C TABL. 30x500MG"</f>
        <v>DOC VITAMIN C TABL. 30x500MG</v>
      </c>
      <c r="F78" s="19">
        <v>3.35</v>
      </c>
      <c r="G78" s="89">
        <v>7.0000000000000007E-2</v>
      </c>
      <c r="H78" s="23">
        <f t="shared" si="1"/>
        <v>3.1154999999999999</v>
      </c>
      <c r="I78" s="87"/>
      <c r="J78" s="90" t="s">
        <v>52</v>
      </c>
    </row>
    <row r="79" spans="1:10" ht="15" customHeight="1" thickBot="1" x14ac:dyDescent="0.3">
      <c r="A79" s="26">
        <v>5200408700938</v>
      </c>
      <c r="B79" s="132" t="str">
        <f>"MEDIHELM AE"</f>
        <v>MEDIHELM AE</v>
      </c>
      <c r="C79" s="26" t="str">
        <f>"49623"</f>
        <v>49623</v>
      </c>
      <c r="D79" s="27" t="str">
        <f>"5200408700938"</f>
        <v>5200408700938</v>
      </c>
      <c r="E79" s="27" t="str">
        <f>"SKY LIFE VITAMIN C 500MG 60TABS"</f>
        <v>SKY LIFE VITAMIN C 500MG 60TABS</v>
      </c>
      <c r="F79" s="19">
        <v>5.66</v>
      </c>
      <c r="G79" s="29">
        <v>7.0000000000000007E-2</v>
      </c>
      <c r="H79" s="28">
        <f t="shared" si="1"/>
        <v>5.2637999999999998</v>
      </c>
      <c r="I79" s="27"/>
      <c r="J79" s="35" t="s">
        <v>72</v>
      </c>
    </row>
    <row r="80" spans="1:10" ht="15" customHeight="1" x14ac:dyDescent="0.25">
      <c r="A80" s="6">
        <v>5205396309521</v>
      </c>
      <c r="B80" s="129" t="str">
        <f t="shared" ref="B80:B99" si="3">"GLAXOSMITHKLINE ΚΑΤΑΝΑΛΩΤΙΚΑ ΠΡΟΪΟΝΤΑ ΥΓΕΙΑΣ ΕΛΛΑΣ Α.Ε."</f>
        <v>GLAXOSMITHKLINE ΚΑΤΑΝΑΛΩΤΙΚΑ ΠΡΟΪΟΝΤΑ ΥΓΕΙΑΣ ΕΛΛΑΣ Α.Ε.</v>
      </c>
      <c r="C80" s="55" t="str">
        <f>"2404"</f>
        <v>2404</v>
      </c>
      <c r="D80" s="47" t="str">
        <f>"5205396309521"</f>
        <v>5205396309521</v>
      </c>
      <c r="E80" s="47" t="str">
        <f>"CENTRUM A-ZINC (EC3) TABL. x30"</f>
        <v>CENTRUM A-ZINC (EC3) TABL. x30</v>
      </c>
      <c r="F80" s="19">
        <v>8.49</v>
      </c>
      <c r="G80" s="48">
        <v>0.1</v>
      </c>
      <c r="H80" s="42">
        <f t="shared" si="1"/>
        <v>7.641</v>
      </c>
      <c r="I80" s="47"/>
      <c r="J80" s="224" t="s">
        <v>14</v>
      </c>
    </row>
    <row r="81" spans="1:10" ht="15" customHeight="1" x14ac:dyDescent="0.25">
      <c r="A81" s="10">
        <v>5205396309026</v>
      </c>
      <c r="B81" s="39" t="str">
        <f t="shared" si="3"/>
        <v>GLAXOSMITHKLINE ΚΑΤΑΝΑΛΩΤΙΚΑ ΠΡΟΪΟΝΤΑ ΥΓΕΙΑΣ ΕΛΛΑΣ Α.Ε.</v>
      </c>
      <c r="C81" s="10" t="str">
        <f>"2409"</f>
        <v>2409</v>
      </c>
      <c r="D81" s="3" t="str">
        <f>"5205396309026"</f>
        <v>5205396309026</v>
      </c>
      <c r="E81" s="3" t="str">
        <f>"CENTRUM A-ZINC (EC3) TABL. x60"</f>
        <v>CENTRUM A-ZINC (EC3) TABL. x60</v>
      </c>
      <c r="F81" s="19">
        <v>13.41</v>
      </c>
      <c r="G81" s="5">
        <v>0.1</v>
      </c>
      <c r="H81" s="19">
        <f t="shared" si="1"/>
        <v>12.068999999999999</v>
      </c>
      <c r="I81" s="3"/>
      <c r="J81" s="224"/>
    </row>
    <row r="82" spans="1:10" ht="15" customHeight="1" x14ac:dyDescent="0.25">
      <c r="A82" s="10">
        <v>5205396439082</v>
      </c>
      <c r="B82" s="39" t="str">
        <f t="shared" si="3"/>
        <v>GLAXOSMITHKLINE ΚΑΤΑΝΑΛΩΤΙΚΑ ΠΡΟΪΟΝΤΑ ΥΓΕΙΑΣ ΕΛΛΑΣ Α.Ε.</v>
      </c>
      <c r="C82" s="10" t="str">
        <f>"02113"</f>
        <v>02113</v>
      </c>
      <c r="D82" s="3" t="str">
        <f>"5205396439082"</f>
        <v>5205396439082</v>
      </c>
      <c r="E82" s="3" t="str">
        <f>"CENTRUM A-ZINC EFF.TABL. x20"</f>
        <v>CENTRUM A-ZINC EFF.TABL. x20</v>
      </c>
      <c r="F82" s="19">
        <v>7.8</v>
      </c>
      <c r="G82" s="5">
        <v>0.1</v>
      </c>
      <c r="H82" s="19">
        <f t="shared" si="1"/>
        <v>7.02</v>
      </c>
      <c r="I82" s="3"/>
      <c r="J82" s="224"/>
    </row>
    <row r="83" spans="1:10" ht="15" customHeight="1" x14ac:dyDescent="0.25">
      <c r="A83" s="10">
        <v>5054563123671</v>
      </c>
      <c r="B83" s="39" t="s">
        <v>216</v>
      </c>
      <c r="C83" s="10" t="s">
        <v>220</v>
      </c>
      <c r="D83" s="3" t="s">
        <v>221</v>
      </c>
      <c r="E83" s="3" t="s">
        <v>222</v>
      </c>
      <c r="F83" s="19">
        <v>8.65</v>
      </c>
      <c r="G83" s="5">
        <v>0.1</v>
      </c>
      <c r="H83" s="19">
        <f t="shared" si="1"/>
        <v>7.7850000000000001</v>
      </c>
      <c r="I83" s="3"/>
      <c r="J83" s="224"/>
    </row>
    <row r="84" spans="1:10" ht="15" customHeight="1" x14ac:dyDescent="0.25">
      <c r="A84" s="10">
        <v>5054563121905</v>
      </c>
      <c r="B84" s="39" t="s">
        <v>216</v>
      </c>
      <c r="C84" s="10" t="s">
        <v>223</v>
      </c>
      <c r="D84" s="3" t="s">
        <v>224</v>
      </c>
      <c r="E84" s="3" t="s">
        <v>225</v>
      </c>
      <c r="F84" s="19">
        <v>5.97</v>
      </c>
      <c r="G84" s="5">
        <v>0.1</v>
      </c>
      <c r="H84" s="19">
        <f t="shared" si="1"/>
        <v>5.3729999999999993</v>
      </c>
      <c r="I84" s="3"/>
      <c r="J84" s="224"/>
    </row>
    <row r="85" spans="1:10" ht="15" customHeight="1" x14ac:dyDescent="0.25">
      <c r="A85" s="10">
        <v>5205396095622</v>
      </c>
      <c r="B85" s="39" t="str">
        <f t="shared" si="3"/>
        <v>GLAXOSMITHKLINE ΚΑΤΑΝΑΛΩΤΙΚΑ ΠΡΟΪΟΝΤΑ ΥΓΕΙΑΣ ΕΛΛΑΣ Α.Ε.</v>
      </c>
      <c r="C85" s="10" t="str">
        <f>"0886"</f>
        <v>0886</v>
      </c>
      <c r="D85" s="3" t="str">
        <f>"5205396095622"</f>
        <v>5205396095622</v>
      </c>
      <c r="E85" s="3" t="str">
        <f>"CENTRUM JUNIOR TABL. x30"</f>
        <v>CENTRUM JUNIOR TABL. x30</v>
      </c>
      <c r="F85" s="19">
        <v>8.7200000000000006</v>
      </c>
      <c r="G85" s="5">
        <v>0.1</v>
      </c>
      <c r="H85" s="19">
        <f t="shared" si="1"/>
        <v>7.8480000000000008</v>
      </c>
      <c r="I85" s="3"/>
      <c r="J85" s="224"/>
    </row>
    <row r="86" spans="1:10" ht="15" customHeight="1" x14ac:dyDescent="0.25">
      <c r="A86" s="10">
        <v>5205396310985</v>
      </c>
      <c r="B86" s="39" t="str">
        <f t="shared" si="3"/>
        <v>GLAXOSMITHKLINE ΚΑΤΑΝΑΛΩΤΙΚΑ ΠΡΟΪΟΝΤΑ ΥΓΕΙΑΣ ΕΛΛΑΣ Α.Ε.</v>
      </c>
      <c r="C86" s="10" t="str">
        <f>"5499"</f>
        <v>5499</v>
      </c>
      <c r="D86" s="3" t="str">
        <f>"5205396310985"</f>
        <v>5205396310985</v>
      </c>
      <c r="E86" s="3" t="str">
        <f>"CENTRUM MEN TABL. x30"</f>
        <v>CENTRUM MEN TABL. x30</v>
      </c>
      <c r="F86" s="19">
        <v>10.16</v>
      </c>
      <c r="G86" s="5">
        <v>0.1</v>
      </c>
      <c r="H86" s="19">
        <f t="shared" si="1"/>
        <v>9.1440000000000001</v>
      </c>
      <c r="I86" s="3"/>
      <c r="J86" s="224"/>
    </row>
    <row r="87" spans="1:10" ht="15" customHeight="1" x14ac:dyDescent="0.25">
      <c r="A87" s="10">
        <v>5205396094939</v>
      </c>
      <c r="B87" s="39" t="str">
        <f t="shared" si="3"/>
        <v>GLAXOSMITHKLINE ΚΑΤΑΝΑΛΩΤΙΚΑ ΠΡΟΪΟΝΤΑ ΥΓΕΙΑΣ ΕΛΛΑΣ Α.Ε.</v>
      </c>
      <c r="C87" s="10" t="str">
        <f>"0000145"</f>
        <v>0000145</v>
      </c>
      <c r="D87" s="3" t="str">
        <f>"5205396094939"</f>
        <v>5205396094939</v>
      </c>
      <c r="E87" s="3" t="str">
        <f>"CENTRUM PERFORMANCE TABL. x30"</f>
        <v>CENTRUM PERFORMANCE TABL. x30</v>
      </c>
      <c r="F87" s="19">
        <v>10.82</v>
      </c>
      <c r="G87" s="5">
        <v>0.1</v>
      </c>
      <c r="H87" s="19">
        <f t="shared" si="1"/>
        <v>9.7379999999999995</v>
      </c>
      <c r="I87" s="3"/>
      <c r="J87" s="224"/>
    </row>
    <row r="88" spans="1:10" ht="15" customHeight="1" x14ac:dyDescent="0.25">
      <c r="A88" s="10">
        <v>5205396309033</v>
      </c>
      <c r="B88" s="39" t="str">
        <f t="shared" si="3"/>
        <v>GLAXOSMITHKLINE ΚΑΤΑΝΑΛΩΤΙΚΑ ΠΡΟΪΟΝΤΑ ΥΓΕΙΑΣ ΕΛΛΑΣ Α.Ε.</v>
      </c>
      <c r="C88" s="10" t="str">
        <f>"01999"</f>
        <v>01999</v>
      </c>
      <c r="D88" s="3" t="str">
        <f>"5205396309033"</f>
        <v>5205396309033</v>
      </c>
      <c r="E88" s="3" t="str">
        <f>"CENTRUM SELECT 50+ TABL. x30"</f>
        <v>CENTRUM SELECT 50+ TABL. x30</v>
      </c>
      <c r="F88" s="19">
        <v>10.16</v>
      </c>
      <c r="G88" s="5">
        <v>0.1</v>
      </c>
      <c r="H88" s="19">
        <f t="shared" si="1"/>
        <v>9.1440000000000001</v>
      </c>
      <c r="I88" s="3"/>
      <c r="J88" s="224"/>
    </row>
    <row r="89" spans="1:10" ht="15" customHeight="1" x14ac:dyDescent="0.25">
      <c r="A89" s="10">
        <v>5205396310954</v>
      </c>
      <c r="B89" s="39" t="str">
        <f t="shared" si="3"/>
        <v>GLAXOSMITHKLINE ΚΑΤΑΝΑΛΩΤΙΚΑ ΠΡΟΪΟΝΤΑ ΥΓΕΙΑΣ ΕΛΛΑΣ Α.Ε.</v>
      </c>
      <c r="C89" s="10" t="str">
        <f>"052915"</f>
        <v>052915</v>
      </c>
      <c r="D89" s="3" t="str">
        <f>"5205396310954"</f>
        <v>5205396310954</v>
      </c>
      <c r="E89" s="3" t="str">
        <f>"CENTRUM SELECT 50+ TABL. x60"</f>
        <v>CENTRUM SELECT 50+ TABL. x60</v>
      </c>
      <c r="F89" s="19">
        <v>15.8</v>
      </c>
      <c r="G89" s="5">
        <v>0.1</v>
      </c>
      <c r="H89" s="19">
        <f t="shared" si="1"/>
        <v>14.22</v>
      </c>
      <c r="I89" s="3"/>
      <c r="J89" s="224"/>
    </row>
    <row r="90" spans="1:10" ht="15" customHeight="1" x14ac:dyDescent="0.25">
      <c r="A90" s="15">
        <v>5205396095646</v>
      </c>
      <c r="B90" s="99" t="s">
        <v>216</v>
      </c>
      <c r="C90" s="15" t="s">
        <v>217</v>
      </c>
      <c r="D90" s="16" t="s">
        <v>218</v>
      </c>
      <c r="E90" s="16" t="s">
        <v>219</v>
      </c>
      <c r="F90" s="19">
        <v>10.16</v>
      </c>
      <c r="G90" s="17">
        <v>0.1</v>
      </c>
      <c r="H90" s="32">
        <f t="shared" si="1"/>
        <v>9.1440000000000001</v>
      </c>
      <c r="I90" s="16"/>
      <c r="J90" s="224"/>
    </row>
    <row r="91" spans="1:10" ht="15" customHeight="1" thickBot="1" x14ac:dyDescent="0.3">
      <c r="A91" s="11">
        <v>5205396426587</v>
      </c>
      <c r="B91" s="130" t="str">
        <f t="shared" si="3"/>
        <v>GLAXOSMITHKLINE ΚΑΤΑΝΑΛΩΤΙΚΑ ΠΡΟΪΟΝΤΑ ΥΓΕΙΑΣ ΕΛΛΑΣ Α.Ε.</v>
      </c>
      <c r="C91" s="15" t="str">
        <f>"55507"</f>
        <v>55507</v>
      </c>
      <c r="D91" s="16" t="str">
        <f>"5205396426587"</f>
        <v>5205396426587</v>
      </c>
      <c r="E91" s="16" t="str">
        <f>"CENTRUM WOMEN TABL. x60"</f>
        <v>CENTRUM WOMEN TABL. x60</v>
      </c>
      <c r="F91" s="19">
        <v>15.8</v>
      </c>
      <c r="G91" s="17">
        <v>0.1</v>
      </c>
      <c r="H91" s="32">
        <f t="shared" si="1"/>
        <v>14.22</v>
      </c>
      <c r="I91" s="16"/>
      <c r="J91" s="224"/>
    </row>
    <row r="92" spans="1:10" ht="15" customHeight="1" x14ac:dyDescent="0.25">
      <c r="A92" s="21">
        <v>5054563095688</v>
      </c>
      <c r="B92" s="131" t="str">
        <f t="shared" si="3"/>
        <v>GLAXOSMITHKLINE ΚΑΤΑΝΑΛΩΤΙΚΑ ΠΡΟΪΟΝΤΑ ΥΓΕΙΑΣ ΕΛΛΑΣ Α.Ε.</v>
      </c>
      <c r="C92" s="21" t="str">
        <f>"74485"</f>
        <v>74485</v>
      </c>
      <c r="D92" s="22" t="str">
        <f>"5054563095688"</f>
        <v>5054563095688</v>
      </c>
      <c r="E92" s="22" t="str">
        <f>"OTRIMER BREATHE CLEAN 100ML ΔΥΝΑΤΟΣ ΨΕΚΑΣΜΟΣ"</f>
        <v>OTRIMER BREATHE CLEAN 100ML ΔΥΝΑΤΟΣ ΨΕΚΑΣΜΟΣ</v>
      </c>
      <c r="F92" s="19">
        <v>5.68</v>
      </c>
      <c r="G92" s="24">
        <v>0.1</v>
      </c>
      <c r="H92" s="23">
        <f t="shared" si="1"/>
        <v>5.1120000000000001</v>
      </c>
      <c r="I92" s="22"/>
      <c r="J92" s="233" t="s">
        <v>14</v>
      </c>
    </row>
    <row r="93" spans="1:10" ht="15" customHeight="1" x14ac:dyDescent="0.25">
      <c r="A93" s="25">
        <v>5054563097439</v>
      </c>
      <c r="B93" s="40" t="str">
        <f t="shared" si="3"/>
        <v>GLAXOSMITHKLINE ΚΑΤΑΝΑΛΩΤΙΚΑ ΠΡΟΪΟΝΤΑ ΥΓΕΙΑΣ ΕΛΛΑΣ Α.Ε.</v>
      </c>
      <c r="C93" s="25" t="str">
        <f>"74465"</f>
        <v>74465</v>
      </c>
      <c r="D93" s="18" t="str">
        <f>"5054563097439"</f>
        <v>5054563097439</v>
      </c>
      <c r="E93" s="18" t="str">
        <f>"OTRIMER BREATHE CLEAN ALOE VERA 100ML ΜΕΤΡΙΟΣ ΨΕΚΑΣΜΟΣ"</f>
        <v>OTRIMER BREATHE CLEAN ALOE VERA 100ML ΜΕΤΡΙΟΣ ΨΕΚΑΣΜΟΣ</v>
      </c>
      <c r="F93" s="19">
        <v>5.91</v>
      </c>
      <c r="G93" s="20">
        <v>0.1</v>
      </c>
      <c r="H93" s="19">
        <f t="shared" si="1"/>
        <v>5.319</v>
      </c>
      <c r="I93" s="18"/>
      <c r="J93" s="223"/>
    </row>
    <row r="94" spans="1:10" ht="15" customHeight="1" thickBot="1" x14ac:dyDescent="0.3">
      <c r="A94" s="26">
        <v>5054563096982</v>
      </c>
      <c r="B94" s="132" t="str">
        <f t="shared" si="3"/>
        <v>GLAXOSMITHKLINE ΚΑΤΑΝΑΛΩΤΙΚΑ ΠΡΟΪΟΝΤΑ ΥΓΕΙΑΣ ΕΛΛΑΣ Α.Ε.</v>
      </c>
      <c r="C94" s="26" t="str">
        <f>"74466"</f>
        <v>74466</v>
      </c>
      <c r="D94" s="27" t="str">
        <f>"5054563096982"</f>
        <v>5054563096982</v>
      </c>
      <c r="E94" s="27" t="str">
        <f>"OTRIMER BREATHE CLEAN KIDS 100ML ΗΠΙΟΣ ΨΕΚΑΣΜΟΣ"</f>
        <v>OTRIMER BREATHE CLEAN KIDS 100ML ΗΠΙΟΣ ΨΕΚΑΣΜΟΣ</v>
      </c>
      <c r="F94" s="19">
        <v>5.68</v>
      </c>
      <c r="G94" s="29">
        <v>0.1</v>
      </c>
      <c r="H94" s="28">
        <f t="shared" si="1"/>
        <v>5.1120000000000001</v>
      </c>
      <c r="I94" s="27"/>
      <c r="J94" s="228"/>
    </row>
    <row r="95" spans="1:10" ht="15" customHeight="1" x14ac:dyDescent="0.25">
      <c r="A95" s="6">
        <v>5205563000107</v>
      </c>
      <c r="B95" s="129" t="str">
        <f t="shared" si="3"/>
        <v>GLAXOSMITHKLINE ΚΑΤΑΝΑΛΩΤΙΚΑ ΠΡΟΪΟΝΤΑ ΥΓΕΙΑΣ ΕΛΛΑΣ Α.Ε.</v>
      </c>
      <c r="C95" s="55" t="str">
        <f>"053995"</f>
        <v>053995</v>
      </c>
      <c r="D95" s="47" t="str">
        <f>"5205563000107"</f>
        <v>5205563000107</v>
      </c>
      <c r="E95" s="47" t="str">
        <f>"OTRISALIN MONODOSE AMP. 30x5ML"</f>
        <v>OTRISALIN MONODOSE AMP. 30x5ML</v>
      </c>
      <c r="F95" s="19">
        <v>3.99</v>
      </c>
      <c r="G95" s="48">
        <v>0.1</v>
      </c>
      <c r="H95" s="42">
        <f t="shared" si="1"/>
        <v>3.5910000000000002</v>
      </c>
      <c r="I95" s="47"/>
      <c r="J95" s="226" t="s">
        <v>56</v>
      </c>
    </row>
    <row r="96" spans="1:10" ht="15" customHeight="1" x14ac:dyDescent="0.25">
      <c r="A96" s="10">
        <v>5205563000138</v>
      </c>
      <c r="B96" s="39" t="str">
        <f t="shared" si="3"/>
        <v>GLAXOSMITHKLINE ΚΑΤΑΝΑΛΩΤΙΚΑ ΠΡΟΪΟΝΤΑ ΥΓΕΙΑΣ ΕΛΛΑΣ Α.Ε.</v>
      </c>
      <c r="C96" s="10" t="str">
        <f>"053866"</f>
        <v>053866</v>
      </c>
      <c r="D96" s="3" t="str">
        <f>"5205563000138"</f>
        <v>5205563000138</v>
      </c>
      <c r="E96" s="3" t="str">
        <f>"OTRISALIN NAS.ASPIR.ΑΝΤΑΛ/KA x20"</f>
        <v>OTRISALIN NAS.ASPIR.ΑΝΤΑΛ/KA x20</v>
      </c>
      <c r="F96" s="19">
        <v>6.3</v>
      </c>
      <c r="G96" s="5">
        <v>0.1</v>
      </c>
      <c r="H96" s="19">
        <f t="shared" si="1"/>
        <v>5.67</v>
      </c>
      <c r="I96" s="3"/>
      <c r="J96" s="226"/>
    </row>
    <row r="97" spans="1:10" ht="15" customHeight="1" thickBot="1" x14ac:dyDescent="0.3">
      <c r="A97" s="11">
        <v>5205563000121</v>
      </c>
      <c r="B97" s="130" t="str">
        <f t="shared" si="3"/>
        <v>GLAXOSMITHKLINE ΚΑΤΑΝΑΛΩΤΙΚΑ ΠΡΟΪΟΝΤΑ ΥΓΕΙΑΣ ΕΛΛΑΣ Α.Ε.</v>
      </c>
      <c r="C97" s="15" t="str">
        <f>"051806"</f>
        <v>051806</v>
      </c>
      <c r="D97" s="16" t="str">
        <f>"5205563000121"</f>
        <v>5205563000121</v>
      </c>
      <c r="E97" s="16" t="str">
        <f>"OTRISALIN NASAL ASPIRATOR (ΣΥΣΚΕΥΗ)"</f>
        <v>OTRISALIN NASAL ASPIRATOR (ΣΥΣΚΕΥΗ)</v>
      </c>
      <c r="F97" s="19">
        <v>6.3</v>
      </c>
      <c r="G97" s="17">
        <v>0.1</v>
      </c>
      <c r="H97" s="32">
        <f t="shared" si="1"/>
        <v>5.67</v>
      </c>
      <c r="I97" s="16"/>
      <c r="J97" s="226"/>
    </row>
    <row r="98" spans="1:10" ht="15" customHeight="1" x14ac:dyDescent="0.25">
      <c r="A98" s="21">
        <v>5054563121462</v>
      </c>
      <c r="B98" s="131" t="str">
        <f t="shared" si="3"/>
        <v>GLAXOSMITHKLINE ΚΑΤΑΝΑΛΩΤΙΚΑ ΠΡΟΪΟΝΤΑ ΥΓΕΙΑΣ ΕΛΛΑΣ Α.Ε.</v>
      </c>
      <c r="C98" s="21" t="str">
        <f>"104205"</f>
        <v>104205</v>
      </c>
      <c r="D98" s="22" t="str">
        <f>"5054563121462"</f>
        <v>5054563121462</v>
      </c>
      <c r="E98" s="22" t="str">
        <f>"PAN NATURAL COUGH 16 LOZENGES RASBERRY"</f>
        <v>PAN NATURAL COUGH 16 LOZENGES RASBERRY</v>
      </c>
      <c r="F98" s="19">
        <v>3.65</v>
      </c>
      <c r="G98" s="24">
        <v>0.2</v>
      </c>
      <c r="H98" s="23">
        <f t="shared" si="1"/>
        <v>2.92</v>
      </c>
      <c r="I98" s="22"/>
      <c r="J98" s="221" t="s">
        <v>48</v>
      </c>
    </row>
    <row r="99" spans="1:10" ht="15" customHeight="1" thickBot="1" x14ac:dyDescent="0.3">
      <c r="A99" s="26">
        <v>5054563116918</v>
      </c>
      <c r="B99" s="132" t="str">
        <f t="shared" si="3"/>
        <v>GLAXOSMITHKLINE ΚΑΤΑΝΑΛΩΤΙΚΑ ΠΡΟΪΟΝΤΑ ΥΓΕΙΑΣ ΕΛΛΑΣ Α.Ε.</v>
      </c>
      <c r="C99" s="26" t="str">
        <f>"104206"</f>
        <v>104206</v>
      </c>
      <c r="D99" s="27" t="str">
        <f>"5054563116918"</f>
        <v>5054563116918</v>
      </c>
      <c r="E99" s="27" t="str">
        <f>"PAN NATURAL COUGH SYROP 128G HONEY"</f>
        <v>PAN NATURAL COUGH SYROP 128G HONEY</v>
      </c>
      <c r="F99" s="19">
        <v>5.73</v>
      </c>
      <c r="G99" s="29">
        <v>0.2</v>
      </c>
      <c r="H99" s="28">
        <f t="shared" si="1"/>
        <v>4.5840000000000005</v>
      </c>
      <c r="I99" s="27"/>
      <c r="J99" s="222"/>
    </row>
    <row r="100" spans="1:10" ht="15" customHeight="1" x14ac:dyDescent="0.25">
      <c r="A100" s="57">
        <v>5206899000106</v>
      </c>
      <c r="B100" s="71" t="str">
        <f>"GM FOOD &amp;BEVERAGES M.IKE"</f>
        <v>GM FOOD &amp;BEVERAGES M.IKE</v>
      </c>
      <c r="C100" s="57" t="str">
        <f>"65745"</f>
        <v>65745</v>
      </c>
      <c r="D100" s="41" t="str">
        <f>"5206899000106"</f>
        <v>5206899000106</v>
      </c>
      <c r="E100" s="41" t="str">
        <f>"APIPHARM PROPOLIS EXTRACT 10% 30ML"</f>
        <v>APIPHARM PROPOLIS EXTRACT 10% 30ML</v>
      </c>
      <c r="F100" s="19">
        <v>7.45</v>
      </c>
      <c r="G100" s="43">
        <v>0.05</v>
      </c>
      <c r="H100" s="42">
        <f t="shared" si="1"/>
        <v>7.0775000000000006</v>
      </c>
      <c r="I100" s="41"/>
      <c r="J100" s="218" t="s">
        <v>30</v>
      </c>
    </row>
    <row r="101" spans="1:10" ht="15" customHeight="1" x14ac:dyDescent="0.25">
      <c r="A101" s="25">
        <v>5206899000014</v>
      </c>
      <c r="B101" s="40" t="str">
        <f>"GM FOOD &amp;BEVERAGES M.IKE"</f>
        <v>GM FOOD &amp;BEVERAGES M.IKE</v>
      </c>
      <c r="C101" s="25" t="str">
        <f>"65747"</f>
        <v>65747</v>
      </c>
      <c r="D101" s="18" t="str">
        <f>"5206899000014"</f>
        <v>5206899000014</v>
      </c>
      <c r="E101" s="18" t="str">
        <f>"APIPHARM PROPOLIS KIDS SPRAY 20ML"</f>
        <v>APIPHARM PROPOLIS KIDS SPRAY 20ML</v>
      </c>
      <c r="F101" s="19">
        <v>9.8000000000000007</v>
      </c>
      <c r="G101" s="20">
        <v>0.05</v>
      </c>
      <c r="H101" s="19">
        <f t="shared" si="1"/>
        <v>9.31</v>
      </c>
      <c r="I101" s="18"/>
      <c r="J101" s="218"/>
    </row>
    <row r="102" spans="1:10" ht="15" customHeight="1" thickBot="1" x14ac:dyDescent="0.3">
      <c r="A102" s="30">
        <v>5206899000113</v>
      </c>
      <c r="B102" s="133" t="str">
        <f>"GM FOOD &amp;BEVERAGES M.IKE"</f>
        <v>GM FOOD &amp;BEVERAGES M.IKE</v>
      </c>
      <c r="C102" s="30" t="str">
        <f>"65746"</f>
        <v>65746</v>
      </c>
      <c r="D102" s="31" t="str">
        <f>"5206899000113"</f>
        <v>5206899000113</v>
      </c>
      <c r="E102" s="31" t="str">
        <f>"APIPHARM PROPOLIS ORAL SPRAY 30ML"</f>
        <v>APIPHARM PROPOLIS ORAL SPRAY 30ML</v>
      </c>
      <c r="F102" s="19">
        <v>6.5</v>
      </c>
      <c r="G102" s="33">
        <v>0.05</v>
      </c>
      <c r="H102" s="32">
        <f t="shared" si="1"/>
        <v>6.1749999999999998</v>
      </c>
      <c r="I102" s="31"/>
      <c r="J102" s="218"/>
    </row>
    <row r="103" spans="1:10" s="2" customFormat="1" ht="15" customHeight="1" x14ac:dyDescent="0.25">
      <c r="A103" s="6">
        <v>8032472005162</v>
      </c>
      <c r="B103" s="129" t="str">
        <f>"KABONATURA Κ.ΚΑΝΤΟΥΝΑΣ &amp;ΣΙΑ ΟΕ"</f>
        <v>KABONATURA Κ.ΚΑΝΤΟΥΝΑΣ &amp;ΣΙΑ ΟΕ</v>
      </c>
      <c r="C103" s="6" t="str">
        <f>"20999"</f>
        <v>20999</v>
      </c>
      <c r="D103" s="7" t="str">
        <f>"8032472005162"</f>
        <v>8032472005162</v>
      </c>
      <c r="E103" s="7" t="str">
        <f>"ABOCA GRINTUSS ΕΝΗΛΙΚΩΝ ΣΙΡΟΠΙ 180GR"</f>
        <v>ABOCA GRINTUSS ΕΝΗΛΙΚΩΝ ΣΙΡΟΠΙ 180GR</v>
      </c>
      <c r="F103" s="19">
        <v>9.8000000000000007</v>
      </c>
      <c r="G103" s="9">
        <v>0.05</v>
      </c>
      <c r="H103" s="23">
        <f t="shared" si="1"/>
        <v>9.31</v>
      </c>
      <c r="I103" s="7"/>
      <c r="J103" s="219" t="s">
        <v>16</v>
      </c>
    </row>
    <row r="104" spans="1:10" s="2" customFormat="1" ht="15" customHeight="1" thickBot="1" x14ac:dyDescent="0.3">
      <c r="A104" s="15">
        <v>8032472005179</v>
      </c>
      <c r="B104" s="99" t="str">
        <f>"KABONATURA Κ.ΚΑΝΤΟΥΝΑΣ &amp;ΣΙΑ ΟΕ"</f>
        <v>KABONATURA Κ.ΚΑΝΤΟΥΝΑΣ &amp;ΣΙΑ ΟΕ</v>
      </c>
      <c r="C104" s="15" t="str">
        <f>"12881"</f>
        <v>12881</v>
      </c>
      <c r="D104" s="16" t="str">
        <f>"8032472005179"</f>
        <v>8032472005179</v>
      </c>
      <c r="E104" s="16" t="str">
        <f>"ABOCA GRINTUSS ΠΑΙΔΙΚΟ ΣΙΡΟΠΙ 180GR"</f>
        <v>ABOCA GRINTUSS ΠΑΙΔΙΚΟ ΣΙΡΟΠΙ 180GR</v>
      </c>
      <c r="F104" s="32">
        <v>9.8000000000000007</v>
      </c>
      <c r="G104" s="17">
        <v>0.05</v>
      </c>
      <c r="H104" s="32">
        <f t="shared" si="1"/>
        <v>9.31</v>
      </c>
      <c r="I104" s="16"/>
      <c r="J104" s="224"/>
    </row>
    <row r="105" spans="1:10" s="2" customFormat="1" ht="15" customHeight="1" x14ac:dyDescent="0.25">
      <c r="A105" s="6">
        <v>5200120390011</v>
      </c>
      <c r="B105" s="129" t="s">
        <v>230</v>
      </c>
      <c r="C105" s="6" t="s">
        <v>231</v>
      </c>
      <c r="D105" s="7" t="s">
        <v>232</v>
      </c>
      <c r="E105" s="7" t="s">
        <v>233</v>
      </c>
      <c r="F105" s="23">
        <v>7.77</v>
      </c>
      <c r="G105" s="9">
        <v>0.3</v>
      </c>
      <c r="H105" s="23">
        <f t="shared" si="1"/>
        <v>5.4390000000000001</v>
      </c>
      <c r="I105" s="7"/>
      <c r="J105" s="216" t="s">
        <v>237</v>
      </c>
    </row>
    <row r="106" spans="1:10" s="2" customFormat="1" ht="15" customHeight="1" thickBot="1" x14ac:dyDescent="0.3">
      <c r="A106" s="11">
        <v>5200120390028</v>
      </c>
      <c r="B106" s="130" t="s">
        <v>230</v>
      </c>
      <c r="C106" s="11" t="s">
        <v>234</v>
      </c>
      <c r="D106" s="12" t="s">
        <v>235</v>
      </c>
      <c r="E106" s="12" t="s">
        <v>236</v>
      </c>
      <c r="F106" s="28">
        <v>7.77</v>
      </c>
      <c r="G106" s="14">
        <v>0.3</v>
      </c>
      <c r="H106" s="28">
        <f t="shared" si="1"/>
        <v>5.4390000000000001</v>
      </c>
      <c r="I106" s="12"/>
      <c r="J106" s="217"/>
    </row>
    <row r="107" spans="1:10" ht="30" customHeight="1" thickBot="1" x14ac:dyDescent="0.3">
      <c r="A107" s="199">
        <v>5201275911113</v>
      </c>
      <c r="B107" s="200" t="str">
        <f>"OLVOS SCIENCE AE."</f>
        <v>OLVOS SCIENCE AE.</v>
      </c>
      <c r="C107" s="156" t="str">
        <f>"12759"</f>
        <v>12759</v>
      </c>
      <c r="D107" s="93" t="str">
        <f>"5201275911113"</f>
        <v>5201275911113</v>
      </c>
      <c r="E107" s="93" t="str">
        <f>"CRETAN IAMA SOFT GEL CAPS x14"</f>
        <v>CRETAN IAMA SOFT GEL CAPS x14</v>
      </c>
      <c r="F107" s="42">
        <v>6.08</v>
      </c>
      <c r="G107" s="158">
        <v>0.05</v>
      </c>
      <c r="H107" s="74">
        <f t="shared" si="1"/>
        <v>5.7759999999999998</v>
      </c>
      <c r="I107" s="93"/>
      <c r="J107" s="159" t="s">
        <v>22</v>
      </c>
    </row>
    <row r="108" spans="1:10" ht="15" customHeight="1" x14ac:dyDescent="0.25">
      <c r="A108" s="25">
        <v>5400951990262</v>
      </c>
      <c r="B108" s="40" t="str">
        <f t="shared" ref="B108:B122" si="4">"OMEGA PHARMA HELLAS A.E."</f>
        <v>OMEGA PHARMA HELLAS A.E.</v>
      </c>
      <c r="C108" s="21" t="str">
        <f>"99186"</f>
        <v>99186</v>
      </c>
      <c r="D108" s="22" t="str">
        <f>"5400951990262"</f>
        <v>5400951990262</v>
      </c>
      <c r="E108" s="22" t="str">
        <f>"BRONCHOIMMUNE 16 PASTILLES"</f>
        <v>BRONCHOIMMUNE 16 PASTILLES</v>
      </c>
      <c r="F108" s="19">
        <v>5.32</v>
      </c>
      <c r="G108" s="24">
        <v>0.15</v>
      </c>
      <c r="H108" s="23">
        <f t="shared" si="1"/>
        <v>4.5220000000000002</v>
      </c>
      <c r="I108" s="22"/>
      <c r="J108" s="36" t="s">
        <v>29</v>
      </c>
    </row>
    <row r="109" spans="1:10" ht="15" customHeight="1" x14ac:dyDescent="0.25">
      <c r="A109" s="25">
        <v>5391520949234</v>
      </c>
      <c r="B109" s="40" t="str">
        <f t="shared" si="4"/>
        <v>OMEGA PHARMA HELLAS A.E.</v>
      </c>
      <c r="C109" s="25" t="str">
        <f>"60445"</f>
        <v>60445</v>
      </c>
      <c r="D109" s="18" t="str">
        <f>"5391520949234"</f>
        <v>5391520949234</v>
      </c>
      <c r="E109" s="18" t="str">
        <f>"BRONCHOJUNIOR SYRUP 200ML 1+ (ΞΗΡΟΣ-ΠΑΡΑΓ.ΒΗΧΑΣ)"</f>
        <v>BRONCHOJUNIOR SYRUP 200ML 1+ (ΞΗΡΟΣ-ΠΑΡΑΓ.ΒΗΧΑΣ)</v>
      </c>
      <c r="F109" s="19">
        <v>6.49</v>
      </c>
      <c r="G109" s="20">
        <v>0.15</v>
      </c>
      <c r="H109" s="19">
        <f t="shared" si="1"/>
        <v>5.5165000000000006</v>
      </c>
      <c r="I109" s="18"/>
      <c r="J109" s="34" t="s">
        <v>29</v>
      </c>
    </row>
    <row r="110" spans="1:10" ht="15" customHeight="1" x14ac:dyDescent="0.25">
      <c r="A110" s="10">
        <v>5391520946592</v>
      </c>
      <c r="B110" s="39" t="str">
        <f t="shared" si="4"/>
        <v>OMEGA PHARMA HELLAS A.E.</v>
      </c>
      <c r="C110" s="10" t="str">
        <f>"22225"</f>
        <v>22225</v>
      </c>
      <c r="D110" s="3" t="str">
        <f>"5391520946592"</f>
        <v>5391520946592</v>
      </c>
      <c r="E110" s="3" t="str">
        <f>"CLINOFAR AMP. 15x5ML"</f>
        <v>CLINOFAR AMP. 15x5ML</v>
      </c>
      <c r="F110" s="19">
        <v>2.56</v>
      </c>
      <c r="G110" s="5">
        <v>0.08</v>
      </c>
      <c r="H110" s="19">
        <f t="shared" si="1"/>
        <v>2.3552</v>
      </c>
      <c r="I110" s="3"/>
      <c r="J110" s="229" t="s">
        <v>38</v>
      </c>
    </row>
    <row r="111" spans="1:10" ht="15" customHeight="1" x14ac:dyDescent="0.25">
      <c r="A111" s="10">
        <v>5202217002210</v>
      </c>
      <c r="B111" s="39" t="str">
        <f t="shared" si="4"/>
        <v>OMEGA PHARMA HELLAS A.E.</v>
      </c>
      <c r="C111" s="10" t="str">
        <f>"052502"</f>
        <v>052502</v>
      </c>
      <c r="D111" s="3" t="str">
        <f>"5202217002210"</f>
        <v>5202217002210</v>
      </c>
      <c r="E111" s="3" t="str">
        <f>"CLINOFAR AMP. 30x5ML"</f>
        <v>CLINOFAR AMP. 30x5ML</v>
      </c>
      <c r="F111" s="19">
        <v>4.3499999999999996</v>
      </c>
      <c r="G111" s="5">
        <v>0.08</v>
      </c>
      <c r="H111" s="19">
        <f t="shared" ref="H111:H161" si="5">F111-F111*G111</f>
        <v>4.0019999999999998</v>
      </c>
      <c r="I111" s="3"/>
      <c r="J111" s="224"/>
    </row>
    <row r="112" spans="1:10" ht="15" customHeight="1" x14ac:dyDescent="0.25">
      <c r="A112" s="10">
        <v>5391520946608</v>
      </c>
      <c r="B112" s="39" t="str">
        <f t="shared" si="4"/>
        <v>OMEGA PHARMA HELLAS A.E.</v>
      </c>
      <c r="C112" s="10" t="str">
        <f>"23364"</f>
        <v>23364</v>
      </c>
      <c r="D112" s="3" t="str">
        <f>"5391520946608"</f>
        <v>5391520946608</v>
      </c>
      <c r="E112" s="3" t="str">
        <f>"CLINOFAR AMP. 60x5ML (40+20ΔΩΡΟ)"</f>
        <v>CLINOFAR AMP. 60x5ML (40+20ΔΩΡΟ)</v>
      </c>
      <c r="F112" s="19">
        <v>6.86</v>
      </c>
      <c r="G112" s="5">
        <v>0.08</v>
      </c>
      <c r="H112" s="19">
        <f t="shared" si="5"/>
        <v>6.3112000000000004</v>
      </c>
      <c r="I112" s="3"/>
      <c r="J112" s="224"/>
    </row>
    <row r="113" spans="1:10" x14ac:dyDescent="0.25">
      <c r="A113" s="10">
        <v>3564300031845</v>
      </c>
      <c r="B113" s="39" t="str">
        <f t="shared" si="4"/>
        <v>OMEGA PHARMA HELLAS A.E.</v>
      </c>
      <c r="C113" s="10" t="str">
        <f>"52904"</f>
        <v>52904</v>
      </c>
      <c r="D113" s="3" t="str">
        <f>"3564300031845"</f>
        <v>3564300031845</v>
      </c>
      <c r="E113" s="3" t="str">
        <f>"CLINOFAR ΑΝΤΑΛ/ΚΑ ΡΙΝ.ΑΠΟΦΡ.ΝΕΟΥ 20ΤΕΜ"</f>
        <v>CLINOFAR ΑΝΤΑΛ/ΚΑ ΡΙΝ.ΑΠΟΦΡ.ΝΕΟΥ 20ΤΕΜ</v>
      </c>
      <c r="F113" s="19">
        <v>3.88</v>
      </c>
      <c r="G113" s="5">
        <v>0.08</v>
      </c>
      <c r="H113" s="19">
        <f t="shared" si="5"/>
        <v>3.5695999999999999</v>
      </c>
      <c r="I113" s="3"/>
      <c r="J113" s="224"/>
    </row>
    <row r="114" spans="1:10" ht="15" customHeight="1" thickBot="1" x14ac:dyDescent="0.3">
      <c r="A114" s="15">
        <v>3564300031852</v>
      </c>
      <c r="B114" s="99" t="str">
        <f t="shared" si="4"/>
        <v>OMEGA PHARMA HELLAS A.E.</v>
      </c>
      <c r="C114" s="11" t="str">
        <f>"52903"</f>
        <v>52903</v>
      </c>
      <c r="D114" s="12" t="str">
        <f>"3564300031852"</f>
        <v>3564300031852</v>
      </c>
      <c r="E114" s="12" t="str">
        <f>"CLINOFAR ΡΙΝΙΚΟΣ ΑΠΟΦΡΑΚΤΗΡΑΣ ΝΕΟΣ ASPIRATOR"</f>
        <v>CLINOFAR ΡΙΝΙΚΟΣ ΑΠΟΦΡΑΚΤΗΡΑΣ ΝΕΟΣ ASPIRATOR</v>
      </c>
      <c r="F114" s="19">
        <v>5.67</v>
      </c>
      <c r="G114" s="14">
        <v>0.05</v>
      </c>
      <c r="H114" s="28">
        <f t="shared" si="5"/>
        <v>5.3864999999999998</v>
      </c>
      <c r="I114" s="12"/>
      <c r="J114" s="220"/>
    </row>
    <row r="115" spans="1:10" ht="15" customHeight="1" x14ac:dyDescent="0.25">
      <c r="A115" s="21">
        <v>3564300031234</v>
      </c>
      <c r="B115" s="131" t="str">
        <f t="shared" si="4"/>
        <v>OMEGA PHARMA HELLAS A.E.</v>
      </c>
      <c r="C115" s="57" t="str">
        <f>"09522"</f>
        <v>09522</v>
      </c>
      <c r="D115" s="41" t="str">
        <f>"3564300031234"</f>
        <v>3564300031234</v>
      </c>
      <c r="E115" s="41" t="str">
        <f>"PHYSIOMER BEBE 115ml"</f>
        <v>PHYSIOMER BEBE 115ml</v>
      </c>
      <c r="F115" s="19">
        <v>6.57</v>
      </c>
      <c r="G115" s="43">
        <v>0.08</v>
      </c>
      <c r="H115" s="42">
        <f t="shared" si="5"/>
        <v>6.0444000000000004</v>
      </c>
      <c r="I115" s="41"/>
      <c r="J115" s="218" t="s">
        <v>38</v>
      </c>
    </row>
    <row r="116" spans="1:10" ht="15" customHeight="1" x14ac:dyDescent="0.25">
      <c r="A116" s="25">
        <v>3564300002401</v>
      </c>
      <c r="B116" s="40" t="str">
        <f t="shared" si="4"/>
        <v>OMEGA PHARMA HELLAS A.E.</v>
      </c>
      <c r="C116" s="25" t="str">
        <f>"33333"</f>
        <v>33333</v>
      </c>
      <c r="D116" s="18" t="str">
        <f>"3564300002401"</f>
        <v>3564300002401</v>
      </c>
      <c r="E116" s="18" t="str">
        <f>"PHYSIOMER EXPRESS KIDS 20ML (3+ ΕΤΩΝ)"</f>
        <v>PHYSIOMER EXPRESS KIDS 20ML (3+ ΕΤΩΝ)</v>
      </c>
      <c r="F116" s="19">
        <v>5.07</v>
      </c>
      <c r="G116" s="20">
        <v>0.08</v>
      </c>
      <c r="H116" s="19">
        <f t="shared" si="5"/>
        <v>4.6644000000000005</v>
      </c>
      <c r="I116" s="18"/>
      <c r="J116" s="218"/>
    </row>
    <row r="117" spans="1:10" ht="15" customHeight="1" x14ac:dyDescent="0.25">
      <c r="A117" s="25">
        <v>8004283150980</v>
      </c>
      <c r="B117" s="40" t="str">
        <f t="shared" si="4"/>
        <v>OMEGA PHARMA HELLAS A.E.</v>
      </c>
      <c r="C117" s="25" t="str">
        <f>"33332"</f>
        <v>33332</v>
      </c>
      <c r="D117" s="18" t="str">
        <f>"8004283150980"</f>
        <v>8004283150980</v>
      </c>
      <c r="E117" s="18" t="str">
        <f>"PHYSIOMER EXPRESS SPRAY 20ML"</f>
        <v>PHYSIOMER EXPRESS SPRAY 20ML</v>
      </c>
      <c r="F117" s="19">
        <v>5.07</v>
      </c>
      <c r="G117" s="20">
        <v>0.08</v>
      </c>
      <c r="H117" s="19">
        <f t="shared" si="5"/>
        <v>4.6644000000000005</v>
      </c>
      <c r="I117" s="18"/>
      <c r="J117" s="218"/>
    </row>
    <row r="118" spans="1:10" ht="15" customHeight="1" x14ac:dyDescent="0.25">
      <c r="A118" s="25">
        <v>3564300031241</v>
      </c>
      <c r="B118" s="40" t="str">
        <f t="shared" si="4"/>
        <v>OMEGA PHARMA HELLAS A.E.</v>
      </c>
      <c r="C118" s="25" t="str">
        <f>"053881"</f>
        <v>053881</v>
      </c>
      <c r="D118" s="18" t="str">
        <f>"3564300031241"</f>
        <v>3564300031241</v>
      </c>
      <c r="E118" s="18" t="str">
        <f>"PHYSIOMER KIDS 115ML"</f>
        <v>PHYSIOMER KIDS 115ML</v>
      </c>
      <c r="F118" s="19">
        <v>6.86</v>
      </c>
      <c r="G118" s="20">
        <v>0.08</v>
      </c>
      <c r="H118" s="19">
        <f t="shared" si="5"/>
        <v>6.3112000000000004</v>
      </c>
      <c r="I118" s="18"/>
      <c r="J118" s="218"/>
    </row>
    <row r="119" spans="1:10" ht="15" customHeight="1" x14ac:dyDescent="0.25">
      <c r="A119" s="25">
        <v>3564300031258</v>
      </c>
      <c r="B119" s="40" t="str">
        <f t="shared" si="4"/>
        <v>OMEGA PHARMA HELLAS A.E.</v>
      </c>
      <c r="C119" s="25" t="str">
        <f>"09523"</f>
        <v>09523</v>
      </c>
      <c r="D119" s="18" t="str">
        <f>"3564300031258"</f>
        <v>3564300031258</v>
      </c>
      <c r="E119" s="18" t="str">
        <f>"PHYSIOMER NORMAL 135ML"</f>
        <v>PHYSIOMER NORMAL 135ML</v>
      </c>
      <c r="F119" s="19">
        <v>6.86</v>
      </c>
      <c r="G119" s="20">
        <v>0.08</v>
      </c>
      <c r="H119" s="19">
        <f t="shared" si="5"/>
        <v>6.3112000000000004</v>
      </c>
      <c r="I119" s="18"/>
      <c r="J119" s="218"/>
    </row>
    <row r="120" spans="1:10" ht="15" customHeight="1" x14ac:dyDescent="0.25">
      <c r="A120" s="25">
        <v>3564300001022</v>
      </c>
      <c r="B120" s="40" t="str">
        <f t="shared" si="4"/>
        <v>OMEGA PHARMA HELLAS A.E.</v>
      </c>
      <c r="C120" s="25" t="str">
        <f>"24741"</f>
        <v>24741</v>
      </c>
      <c r="D120" s="18" t="str">
        <f>"3564300001022"</f>
        <v>3564300001022</v>
      </c>
      <c r="E120" s="18" t="str">
        <f>"PHYSIOMER ΥΠΕΡΤΟΝΟ 20ML POCKET"</f>
        <v>PHYSIOMER ΥΠΕΡΤΟΝΟ 20ML POCKET</v>
      </c>
      <c r="F120" s="19">
        <v>5.07</v>
      </c>
      <c r="G120" s="20">
        <v>0.08</v>
      </c>
      <c r="H120" s="19">
        <f t="shared" si="5"/>
        <v>4.6644000000000005</v>
      </c>
      <c r="I120" s="18"/>
      <c r="J120" s="218"/>
    </row>
    <row r="121" spans="1:10" ht="15" customHeight="1" x14ac:dyDescent="0.25">
      <c r="A121" s="25">
        <v>3564300001046</v>
      </c>
      <c r="B121" s="40" t="str">
        <f t="shared" si="4"/>
        <v>OMEGA PHARMA HELLAS A.E.</v>
      </c>
      <c r="C121" s="25" t="str">
        <f>"053013"</f>
        <v>053013</v>
      </c>
      <c r="D121" s="18" t="str">
        <f>"3564300001046"</f>
        <v>3564300001046</v>
      </c>
      <c r="E121" s="18" t="str">
        <f>"PHYSIOMER ΥΠΕΡΤΟΝΟ ΕΥΚΑΛΥΠΤΟΣ 135ML"</f>
        <v>PHYSIOMER ΥΠΕΡΤΟΝΟ ΕΥΚΑΛΥΠΤΟΣ 135ML</v>
      </c>
      <c r="F121" s="19">
        <v>7.34</v>
      </c>
      <c r="G121" s="20">
        <v>0.08</v>
      </c>
      <c r="H121" s="19">
        <f t="shared" si="5"/>
        <v>6.7527999999999997</v>
      </c>
      <c r="I121" s="18"/>
      <c r="J121" s="218"/>
    </row>
    <row r="122" spans="1:10" ht="15" customHeight="1" thickBot="1" x14ac:dyDescent="0.3">
      <c r="A122" s="26">
        <v>3564300001053</v>
      </c>
      <c r="B122" s="132" t="str">
        <f t="shared" si="4"/>
        <v>OMEGA PHARMA HELLAS A.E.</v>
      </c>
      <c r="C122" s="30" t="str">
        <f>"21941"</f>
        <v>21941</v>
      </c>
      <c r="D122" s="31" t="str">
        <f>"3564300001053"</f>
        <v>3564300001053</v>
      </c>
      <c r="E122" s="31" t="str">
        <f>"PHYSIOMER ΥΠΕΡΤΟΝΟ ΕΥΚΑΛΥΠΤΟΣ 20ML POCKET"</f>
        <v>PHYSIOMER ΥΠΕΡΤΟΝΟ ΕΥΚΑΛΥΠΤΟΣ 20ML POCKET</v>
      </c>
      <c r="F122" s="19">
        <v>5.07</v>
      </c>
      <c r="G122" s="33">
        <v>0.08</v>
      </c>
      <c r="H122" s="32">
        <f t="shared" si="5"/>
        <v>4.6644000000000005</v>
      </c>
      <c r="I122" s="31"/>
      <c r="J122" s="218"/>
    </row>
    <row r="123" spans="1:10" s="2" customFormat="1" ht="15" customHeight="1" thickBot="1" x14ac:dyDescent="0.3">
      <c r="A123" s="15">
        <v>3582910082309</v>
      </c>
      <c r="B123" s="99" t="str">
        <f>"OPELLA HEALTHCARE GREECE M.ΕΠΕ"</f>
        <v>OPELLA HEALTHCARE GREECE M.ΕΠΕ</v>
      </c>
      <c r="C123" s="11" t="str">
        <f>"11038"</f>
        <v>11038</v>
      </c>
      <c r="D123" s="12" t="str">
        <f>"3582910082309"</f>
        <v>3582910082309</v>
      </c>
      <c r="E123" s="12" t="str">
        <f>"LYSOPAINE VOX (ΦΡΑΟΥΛΑ-ΜΕΝΤΑ) x18"</f>
        <v>LYSOPAINE VOX (ΦΡΑΟΥΛΑ-ΜΕΝΤΑ) x18</v>
      </c>
      <c r="F123" s="19">
        <v>3.74</v>
      </c>
      <c r="G123" s="14">
        <v>0.08</v>
      </c>
      <c r="H123" s="28">
        <f t="shared" si="5"/>
        <v>3.4408000000000003</v>
      </c>
      <c r="I123" s="12"/>
      <c r="J123" s="197" t="s">
        <v>132</v>
      </c>
    </row>
    <row r="124" spans="1:10" s="80" customFormat="1" ht="30" customHeight="1" thickBot="1" x14ac:dyDescent="0.3">
      <c r="A124" s="176"/>
      <c r="B124" s="177" t="s">
        <v>155</v>
      </c>
      <c r="C124" s="176" t="str">
        <f>"46699"</f>
        <v>46699</v>
      </c>
      <c r="D124" s="178" t="str">
        <f>"5204669911119"</f>
        <v>5204669911119</v>
      </c>
      <c r="E124" s="1" t="s">
        <v>156</v>
      </c>
      <c r="F124" s="19">
        <v>6.98</v>
      </c>
      <c r="G124" s="179">
        <v>0.08</v>
      </c>
      <c r="H124" s="157">
        <f t="shared" si="5"/>
        <v>6.4216000000000006</v>
      </c>
      <c r="I124" s="180"/>
      <c r="J124" s="175" t="s">
        <v>157</v>
      </c>
    </row>
    <row r="125" spans="1:10" ht="15" customHeight="1" x14ac:dyDescent="0.25">
      <c r="A125" s="6">
        <v>4002590703909</v>
      </c>
      <c r="B125" s="129" t="str">
        <f t="shared" ref="B125:B134" si="6">"PARAPHARM INTERNATIONAL  A.E"</f>
        <v>PARAPHARM INTERNATIONAL  A.E</v>
      </c>
      <c r="C125" s="6" t="str">
        <f>"2252"</f>
        <v>2252</v>
      </c>
      <c r="D125" s="7" t="str">
        <f>"4002590703909"</f>
        <v>4002590703909</v>
      </c>
      <c r="E125" s="7" t="str">
        <f>"PULMOLL CLASSIC KOKKINO ΓΛΥΚΙΡΙΖΑ ΜΕΛΙ 75GR"</f>
        <v>PULMOLL CLASSIC KOKKINO ΓΛΥΚΙΡΙΖΑ ΜΕΛΙ 75GR</v>
      </c>
      <c r="F125" s="19">
        <v>2.15</v>
      </c>
      <c r="G125" s="9">
        <v>7.0000000000000007E-2</v>
      </c>
      <c r="H125" s="23">
        <f t="shared" si="5"/>
        <v>1.9994999999999998</v>
      </c>
      <c r="I125" s="7"/>
      <c r="J125" s="225" t="s">
        <v>56</v>
      </c>
    </row>
    <row r="126" spans="1:10" ht="15" customHeight="1" x14ac:dyDescent="0.25">
      <c r="A126" s="10">
        <v>4002590700892</v>
      </c>
      <c r="B126" s="39" t="str">
        <f t="shared" si="6"/>
        <v>PARAPHARM INTERNATIONAL  A.E</v>
      </c>
      <c r="C126" s="10" t="str">
        <f>"45340"</f>
        <v>45340</v>
      </c>
      <c r="D126" s="3" t="str">
        <f>"4002590700892"</f>
        <v>4002590700892</v>
      </c>
      <c r="E126" s="3" t="str">
        <f>"PULMOLL JUNIOR ECHINACEA ΒΑΤΟΜΟΥΡΟ 50GR X.Z."</f>
        <v>PULMOLL JUNIOR ECHINACEA ΒΑΤΟΜΟΥΡΟ 50GR X.Z.</v>
      </c>
      <c r="F126" s="19">
        <v>2.15</v>
      </c>
      <c r="G126" s="5">
        <v>7.0000000000000007E-2</v>
      </c>
      <c r="H126" s="19">
        <f t="shared" si="5"/>
        <v>1.9994999999999998</v>
      </c>
      <c r="I126" s="3"/>
      <c r="J126" s="226"/>
    </row>
    <row r="127" spans="1:10" ht="15" customHeight="1" x14ac:dyDescent="0.25">
      <c r="A127" s="10">
        <v>4002590700885</v>
      </c>
      <c r="B127" s="39" t="str">
        <f t="shared" si="6"/>
        <v>PARAPHARM INTERNATIONAL  A.E</v>
      </c>
      <c r="C127" s="10" t="str">
        <f>"053884"</f>
        <v>053884</v>
      </c>
      <c r="D127" s="3" t="str">
        <f>"4002590700885"</f>
        <v>4002590700885</v>
      </c>
      <c r="E127" s="3" t="str">
        <f>"PULMOLL JUNIOR ΠΟΡΤΟΚΑΛΙ 50GR X.Z."</f>
        <v>PULMOLL JUNIOR ΠΟΡΤΟΚΑΛΙ 50GR X.Z.</v>
      </c>
      <c r="F127" s="19">
        <v>2.15</v>
      </c>
      <c r="G127" s="5">
        <v>7.0000000000000007E-2</v>
      </c>
      <c r="H127" s="19">
        <f t="shared" si="5"/>
        <v>1.9994999999999998</v>
      </c>
      <c r="I127" s="3"/>
      <c r="J127" s="226"/>
    </row>
    <row r="128" spans="1:10" ht="15" customHeight="1" x14ac:dyDescent="0.25">
      <c r="A128" s="10">
        <v>4002590703961</v>
      </c>
      <c r="B128" s="39" t="str">
        <f t="shared" si="6"/>
        <v>PARAPHARM INTERNATIONAL  A.E</v>
      </c>
      <c r="C128" s="10" t="str">
        <f>"6264"</f>
        <v>6264</v>
      </c>
      <c r="D128" s="3" t="str">
        <f>"4002590703961"</f>
        <v>4002590703961</v>
      </c>
      <c r="E128" s="3" t="str">
        <f>"PULMOLL ΑΓΡΙΟΚΕΡΑΣΟ 50GR X.Z."</f>
        <v>PULMOLL ΑΓΡΙΟΚΕΡΑΣΟ 50GR X.Z.</v>
      </c>
      <c r="F128" s="19">
        <v>2.15</v>
      </c>
      <c r="G128" s="5">
        <v>7.0000000000000007E-2</v>
      </c>
      <c r="H128" s="19">
        <f t="shared" si="5"/>
        <v>1.9994999999999998</v>
      </c>
      <c r="I128" s="3"/>
      <c r="J128" s="226"/>
    </row>
    <row r="129" spans="1:10" ht="15" customHeight="1" x14ac:dyDescent="0.25">
      <c r="A129" s="10">
        <v>4002590664156</v>
      </c>
      <c r="B129" s="39" t="str">
        <f t="shared" si="6"/>
        <v>PARAPHARM INTERNATIONAL  A.E</v>
      </c>
      <c r="C129" s="10" t="str">
        <f>"2249"</f>
        <v>2249</v>
      </c>
      <c r="D129" s="3" t="str">
        <f>"4002590664156"</f>
        <v>4002590664156</v>
      </c>
      <c r="E129" s="3" t="str">
        <f>"PULMOLL ΕΥΚΑΛΥΠΤΟΣ ΜΕΝΘΟΛΗ 50GR X.Z."</f>
        <v>PULMOLL ΕΥΚΑΛΥΠΤΟΣ ΜΕΝΘΟΛΗ 50GR X.Z.</v>
      </c>
      <c r="F129" s="19">
        <v>2.15</v>
      </c>
      <c r="G129" s="5">
        <v>7.0000000000000007E-2</v>
      </c>
      <c r="H129" s="19">
        <f t="shared" si="5"/>
        <v>1.9994999999999998</v>
      </c>
      <c r="I129" s="3"/>
      <c r="J129" s="226"/>
    </row>
    <row r="130" spans="1:10" ht="15" customHeight="1" x14ac:dyDescent="0.25">
      <c r="A130" s="10">
        <v>4002590706450</v>
      </c>
      <c r="B130" s="39" t="str">
        <f t="shared" si="6"/>
        <v>PARAPHARM INTERNATIONAL  A.E</v>
      </c>
      <c r="C130" s="10" t="str">
        <f>"54706"</f>
        <v>54706</v>
      </c>
      <c r="D130" s="3" t="str">
        <f>"4002590706450"</f>
        <v>4002590706450</v>
      </c>
      <c r="E130" s="3" t="str">
        <f>"PULMOLL ΛΑΙΜ - ΜΕΝΤΑ 50GR X.Z. LIME-MINT"</f>
        <v>PULMOLL ΛΑΙΜ - ΜΕΝΤΑ 50GR X.Z. LIME-MINT</v>
      </c>
      <c r="F130" s="19">
        <v>2.15</v>
      </c>
      <c r="G130" s="5">
        <v>7.0000000000000007E-2</v>
      </c>
      <c r="H130" s="19">
        <f t="shared" si="5"/>
        <v>1.9994999999999998</v>
      </c>
      <c r="I130" s="3"/>
      <c r="J130" s="226"/>
    </row>
    <row r="131" spans="1:10" ht="15" customHeight="1" x14ac:dyDescent="0.25">
      <c r="A131" s="10">
        <v>4002590703985</v>
      </c>
      <c r="B131" s="39" t="str">
        <f t="shared" si="6"/>
        <v>PARAPHARM INTERNATIONAL  A.E</v>
      </c>
      <c r="C131" s="10" t="str">
        <f>"12139"</f>
        <v>12139</v>
      </c>
      <c r="D131" s="3" t="str">
        <f>"4002590703985"</f>
        <v>4002590703985</v>
      </c>
      <c r="E131" s="3" t="str">
        <f>"PULMOLL ΛΕΜΟΝΙ 50GR X.Z."</f>
        <v>PULMOLL ΛΕΜΟΝΙ 50GR X.Z.</v>
      </c>
      <c r="F131" s="19">
        <v>2.15</v>
      </c>
      <c r="G131" s="5">
        <v>7.0000000000000007E-2</v>
      </c>
      <c r="H131" s="19">
        <f t="shared" si="5"/>
        <v>1.9994999999999998</v>
      </c>
      <c r="I131" s="3"/>
      <c r="J131" s="226"/>
    </row>
    <row r="132" spans="1:10" ht="15" customHeight="1" x14ac:dyDescent="0.25">
      <c r="A132" s="10">
        <v>4002590706658</v>
      </c>
      <c r="B132" s="39" t="str">
        <f t="shared" si="6"/>
        <v>PARAPHARM INTERNATIONAL  A.E</v>
      </c>
      <c r="C132" s="10" t="str">
        <f>"72746"</f>
        <v>72746</v>
      </c>
      <c r="D132" s="3" t="str">
        <f>"4002590706658"</f>
        <v>4002590706658</v>
      </c>
      <c r="E132" s="3" t="str">
        <f>"PULMOLL ΜΕΛΙ ΜΑΡΑΘΟ 75GR"</f>
        <v>PULMOLL ΜΕΛΙ ΜΑΡΑΘΟ 75GR</v>
      </c>
      <c r="F132" s="19">
        <v>2.15</v>
      </c>
      <c r="G132" s="5">
        <v>7.0000000000000007E-2</v>
      </c>
      <c r="H132" s="19">
        <f t="shared" si="5"/>
        <v>1.9994999999999998</v>
      </c>
      <c r="I132" s="3"/>
      <c r="J132" s="226"/>
    </row>
    <row r="133" spans="1:10" ht="15" customHeight="1" x14ac:dyDescent="0.25">
      <c r="A133" s="10">
        <v>4002590703930</v>
      </c>
      <c r="B133" s="39" t="str">
        <f t="shared" si="6"/>
        <v>PARAPHARM INTERNATIONAL  A.E</v>
      </c>
      <c r="C133" s="10" t="str">
        <f>"0732"</f>
        <v>0732</v>
      </c>
      <c r="D133" s="3" t="str">
        <f>"4002590703930"</f>
        <v>4002590703930</v>
      </c>
      <c r="E133" s="3" t="str">
        <f>"PULMOLL ΠΟΛΥ ΔΥΝΑΤΗ 50GR X.Z. (ΜΠΛΕ)"</f>
        <v>PULMOLL ΠΟΛΥ ΔΥΝΑΤΗ 50GR X.Z. (ΜΠΛΕ)</v>
      </c>
      <c r="F133" s="19">
        <v>2.15</v>
      </c>
      <c r="G133" s="5">
        <v>7.0000000000000007E-2</v>
      </c>
      <c r="H133" s="19">
        <f t="shared" si="5"/>
        <v>1.9994999999999998</v>
      </c>
      <c r="I133" s="3"/>
      <c r="J133" s="226"/>
    </row>
    <row r="134" spans="1:10" ht="15" customHeight="1" thickBot="1" x14ac:dyDescent="0.3">
      <c r="A134" s="11">
        <v>4002590703954</v>
      </c>
      <c r="B134" s="130" t="str">
        <f t="shared" si="6"/>
        <v>PARAPHARM INTERNATIONAL  A.E</v>
      </c>
      <c r="C134" s="11" t="str">
        <f>"2251"</f>
        <v>2251</v>
      </c>
      <c r="D134" s="12" t="str">
        <f>"4002590703954"</f>
        <v>4002590703954</v>
      </c>
      <c r="E134" s="12" t="str">
        <f>"PULMOLL ΠΟΡΤΟΚΑΛΙ 50GR X.Z."</f>
        <v>PULMOLL ΠΟΡΤΟΚΑΛΙ 50GR X.Z.</v>
      </c>
      <c r="F134" s="19">
        <v>2.15</v>
      </c>
      <c r="G134" s="14">
        <v>7.0000000000000007E-2</v>
      </c>
      <c r="H134" s="28">
        <f t="shared" si="5"/>
        <v>1.9994999999999998</v>
      </c>
      <c r="I134" s="12"/>
      <c r="J134" s="227"/>
    </row>
    <row r="135" spans="1:10" ht="15" customHeight="1" x14ac:dyDescent="0.25">
      <c r="A135" s="57">
        <v>8719324246026</v>
      </c>
      <c r="B135" s="71" t="str">
        <f>"PHARMADIRECT MΕΠΕ"</f>
        <v>PHARMADIRECT MΕΠΕ</v>
      </c>
      <c r="C135" s="21" t="str">
        <f>"052477"</f>
        <v>052477</v>
      </c>
      <c r="D135" s="22" t="str">
        <f>"8719324246026"</f>
        <v>8719324246026</v>
      </c>
      <c r="E135" s="22" t="str">
        <f>"SPIRULINA MARCUS RORER 180x300MG"</f>
        <v>SPIRULINA MARCUS RORER 180x300MG</v>
      </c>
      <c r="F135" s="19">
        <v>15.2</v>
      </c>
      <c r="G135" s="24">
        <v>0.12</v>
      </c>
      <c r="H135" s="23">
        <f t="shared" si="5"/>
        <v>13.375999999999999</v>
      </c>
      <c r="I135" s="22"/>
      <c r="J135" s="36" t="s">
        <v>9</v>
      </c>
    </row>
    <row r="136" spans="1:10" s="80" customFormat="1" ht="15.75" thickBot="1" x14ac:dyDescent="0.3">
      <c r="A136" s="107">
        <v>3577056017537</v>
      </c>
      <c r="B136" s="140" t="str">
        <f>"PIERRE FABRE HELLAS A.E."</f>
        <v>PIERRE FABRE HELLAS A.E.</v>
      </c>
      <c r="C136" s="160" t="str">
        <f>"14121"</f>
        <v>14121</v>
      </c>
      <c r="D136" s="161" t="str">
        <f>"3577056017537"</f>
        <v>3577056017537</v>
      </c>
      <c r="E136" s="161" t="str">
        <f>"DRILL PETIT 125ML ΦΡΑΟΥΛΑ (6 ΜΗΝΩΝ ΕΩΣ 6 ΕΤΩΝ)"</f>
        <v>DRILL PETIT 125ML ΦΡΑΟΥΛΑ (6 ΜΗΝΩΝ ΕΩΣ 6 ΕΤΩΝ)</v>
      </c>
      <c r="F136" s="19">
        <v>7.52</v>
      </c>
      <c r="G136" s="162">
        <v>0.05</v>
      </c>
      <c r="H136" s="28">
        <f t="shared" si="5"/>
        <v>7.1439999999999992</v>
      </c>
      <c r="I136" s="161"/>
      <c r="J136" s="105" t="s">
        <v>30</v>
      </c>
    </row>
    <row r="137" spans="1:10" ht="15" customHeight="1" thickBot="1" x14ac:dyDescent="0.3">
      <c r="A137" s="61">
        <v>5999551072992</v>
      </c>
      <c r="B137" s="136" t="str">
        <f>"S.J.A. PHARM LTD"</f>
        <v>S.J.A. PHARM LTD</v>
      </c>
      <c r="C137" s="72" t="str">
        <f>"50241"</f>
        <v>50241</v>
      </c>
      <c r="D137" s="73" t="str">
        <f>"5999551072992"</f>
        <v>5999551072992</v>
      </c>
      <c r="E137" s="73" t="str">
        <f>"MEDICAIR MEDISTUS ANTIVIRUS ΠΑΣΤΙΛΙΕΣ 10ΤΕΜ"</f>
        <v>MEDICAIR MEDISTUS ANTIVIRUS ΠΑΣΤΙΛΙΕΣ 10ΤΕΜ</v>
      </c>
      <c r="F137" s="19">
        <v>4.8</v>
      </c>
      <c r="G137" s="75">
        <v>0.15</v>
      </c>
      <c r="H137" s="74">
        <f t="shared" si="5"/>
        <v>4.08</v>
      </c>
      <c r="I137" s="73"/>
      <c r="J137" s="108" t="s">
        <v>37</v>
      </c>
    </row>
    <row r="138" spans="1:10" s="80" customFormat="1" ht="30" customHeight="1" thickBot="1" x14ac:dyDescent="0.3">
      <c r="A138" s="106">
        <v>8006540107638</v>
      </c>
      <c r="B138" s="140" t="str">
        <f>"ΠΡΟΚΤΕΡ &amp; ΓΚΑΜΠΛ ΕΛΛΑΣ Μ.Ε.Π.Ε."</f>
        <v>ΠΡΟΚΤΕΡ &amp; ΓΚΑΜΠΛ ΕΛΛΑΣ Μ.Ε.Π.Ε.</v>
      </c>
      <c r="C138" s="193" t="str">
        <f>"76666"</f>
        <v>76666</v>
      </c>
      <c r="D138" s="194" t="str">
        <f>"8006540107638"</f>
        <v>8006540107638</v>
      </c>
      <c r="E138" s="194" t="str">
        <f>"FIRST DEFENCE NASAL SPRAY 15ML"</f>
        <v>FIRST DEFENCE NASAL SPRAY 15ML</v>
      </c>
      <c r="F138" s="19">
        <v>8.36</v>
      </c>
      <c r="G138" s="195">
        <v>0.08</v>
      </c>
      <c r="H138" s="88">
        <f t="shared" si="5"/>
        <v>7.6911999999999994</v>
      </c>
      <c r="I138" s="194"/>
      <c r="J138" s="181" t="s">
        <v>14</v>
      </c>
    </row>
    <row r="139" spans="1:10" x14ac:dyDescent="0.25">
      <c r="A139" s="6">
        <v>5202453000971</v>
      </c>
      <c r="B139" s="129" t="str">
        <f t="shared" ref="B139:B144" si="7">"ΣΥΝΔΕΣΜΟΣ Α.Ε."</f>
        <v>ΣΥΝΔΕΣΜΟΣ Α.Ε.</v>
      </c>
      <c r="C139" s="6" t="str">
        <f>"01317"</f>
        <v>01317</v>
      </c>
      <c r="D139" s="7" t="str">
        <f>"5202453000971"</f>
        <v>5202453000971</v>
      </c>
      <c r="E139" s="7" t="str">
        <f>"FISHERMAN'S FRIEND EXTRA STRONG ΜΠΛΕ 25GR"</f>
        <v>FISHERMAN'S FRIEND EXTRA STRONG ΜΠΛΕ 25GR</v>
      </c>
      <c r="F139" s="19">
        <v>1.24</v>
      </c>
      <c r="G139" s="9">
        <v>0.2</v>
      </c>
      <c r="H139" s="23">
        <f t="shared" si="5"/>
        <v>0.99199999999999999</v>
      </c>
      <c r="I139" s="7"/>
      <c r="J139" s="219" t="s">
        <v>50</v>
      </c>
    </row>
    <row r="140" spans="1:10" x14ac:dyDescent="0.25">
      <c r="A140" s="10">
        <v>50819393</v>
      </c>
      <c r="B140" s="39" t="str">
        <f t="shared" si="7"/>
        <v>ΣΥΝΔΕΣΜΟΣ Α.Ε.</v>
      </c>
      <c r="C140" s="10" t="str">
        <f>"10076"</f>
        <v>10076</v>
      </c>
      <c r="D140" s="3" t="str">
        <f>"50819393"</f>
        <v>50819393</v>
      </c>
      <c r="E140" s="3" t="str">
        <f>"FISHERMAN'S FRIEND ORIGINAL ΑΣΠΡΟ - ΚΟΚΚΙΝΟ 25GR"</f>
        <v>FISHERMAN'S FRIEND ORIGINAL ΑΣΠΡΟ - ΚΟΚΚΙΝΟ 25GR</v>
      </c>
      <c r="F140" s="19">
        <v>1.24</v>
      </c>
      <c r="G140" s="5">
        <v>0.2</v>
      </c>
      <c r="H140" s="19">
        <f t="shared" si="5"/>
        <v>0.99199999999999999</v>
      </c>
      <c r="I140" s="3"/>
      <c r="J140" s="224"/>
    </row>
    <row r="141" spans="1:10" x14ac:dyDescent="0.25">
      <c r="A141" s="10">
        <v>5000357108324</v>
      </c>
      <c r="B141" s="39" t="str">
        <f t="shared" si="7"/>
        <v>ΣΥΝΔΕΣΜΟΣ Α.Ε.</v>
      </c>
      <c r="C141" s="10" t="str">
        <f>"108289"</f>
        <v>108289</v>
      </c>
      <c r="D141" s="3" t="str">
        <f>"5000357108324"</f>
        <v>5000357108324</v>
      </c>
      <c r="E141" s="3" t="str">
        <f>"FISHERMAN'S FRIEND ΔΥΟΣΜΟΣ 25GR"</f>
        <v>FISHERMAN'S FRIEND ΔΥΟΣΜΟΣ 25GR</v>
      </c>
      <c r="F141" s="19">
        <v>1.24</v>
      </c>
      <c r="G141" s="5">
        <v>0.2</v>
      </c>
      <c r="H141" s="19">
        <f t="shared" si="5"/>
        <v>0.99199999999999999</v>
      </c>
      <c r="I141" s="3"/>
      <c r="J141" s="224"/>
    </row>
    <row r="142" spans="1:10" x14ac:dyDescent="0.25">
      <c r="A142" s="10">
        <v>5000357106412</v>
      </c>
      <c r="B142" s="39" t="str">
        <f t="shared" si="7"/>
        <v>ΣΥΝΔΕΣΜΟΣ Α.Ε.</v>
      </c>
      <c r="C142" s="10" t="str">
        <f>"22019"</f>
        <v>22019</v>
      </c>
      <c r="D142" s="3" t="str">
        <f>"5000357106412"</f>
        <v>5000357106412</v>
      </c>
      <c r="E142" s="3" t="str">
        <f>"FISHERMAN'S FRIEND ΛΕΜΟΝΙ - ΜΕΛΙ 25GR"</f>
        <v>FISHERMAN'S FRIEND ΛΕΜΟΝΙ - ΜΕΛΙ 25GR</v>
      </c>
      <c r="F142" s="19">
        <v>1.24</v>
      </c>
      <c r="G142" s="5">
        <v>0.2</v>
      </c>
      <c r="H142" s="19">
        <f t="shared" si="5"/>
        <v>0.99199999999999999</v>
      </c>
      <c r="I142" s="3"/>
      <c r="J142" s="224"/>
    </row>
    <row r="143" spans="1:10" x14ac:dyDescent="0.25">
      <c r="A143" s="10">
        <v>5000357108317</v>
      </c>
      <c r="B143" s="39" t="str">
        <f t="shared" si="7"/>
        <v>ΣΥΝΔΕΣΜΟΣ Α.Ε.</v>
      </c>
      <c r="C143" s="10" t="str">
        <f>"108288"</f>
        <v>108288</v>
      </c>
      <c r="D143" s="3" t="str">
        <f>"5000357108317"</f>
        <v>5000357108317</v>
      </c>
      <c r="E143" s="3" t="str">
        <f>"FISHERMAN'S FRIEND ΜΑΥΡΟ ΦΡΑΓΚΟΣΤΑΦΥΛΟ 25GR"</f>
        <v>FISHERMAN'S FRIEND ΜΑΥΡΟ ΦΡΑΓΚΟΣΤΑΦΥΛΟ 25GR</v>
      </c>
      <c r="F143" s="19">
        <v>1.24</v>
      </c>
      <c r="G143" s="5">
        <v>0.2</v>
      </c>
      <c r="H143" s="19">
        <f t="shared" si="5"/>
        <v>0.99199999999999999</v>
      </c>
      <c r="I143" s="3"/>
      <c r="J143" s="224"/>
    </row>
    <row r="144" spans="1:10" x14ac:dyDescent="0.25">
      <c r="A144" s="10">
        <v>5202453000957</v>
      </c>
      <c r="B144" s="39" t="str">
        <f t="shared" si="7"/>
        <v>ΣΥΝΔΕΣΜΟΣ Α.Ε.</v>
      </c>
      <c r="C144" s="10" t="str">
        <f>"21779"</f>
        <v>21779</v>
      </c>
      <c r="D144" s="3" t="str">
        <f>"5202453000957"</f>
        <v>5202453000957</v>
      </c>
      <c r="E144" s="3" t="str">
        <f>"FISHERMAN'S FRIEND ΜΕΝΤΑ ΠΡΑΣΙΝΟ 25GR"</f>
        <v>FISHERMAN'S FRIEND ΜΕΝΤΑ ΠΡΑΣΙΝΟ 25GR</v>
      </c>
      <c r="F144" s="19">
        <v>1.24</v>
      </c>
      <c r="G144" s="5">
        <v>0.2</v>
      </c>
      <c r="H144" s="19">
        <f t="shared" si="5"/>
        <v>0.99199999999999999</v>
      </c>
      <c r="I144" s="3"/>
      <c r="J144" s="224"/>
    </row>
    <row r="145" spans="1:10" ht="15.75" thickBot="1" x14ac:dyDescent="0.3">
      <c r="A145" s="11">
        <v>5000357107099</v>
      </c>
      <c r="B145" s="130" t="s">
        <v>85</v>
      </c>
      <c r="C145" s="11" t="str">
        <f>"01318"</f>
        <v>01318</v>
      </c>
      <c r="D145" s="12" t="str">
        <f>"5000357107099"</f>
        <v>5000357107099</v>
      </c>
      <c r="E145" s="12" t="str">
        <f>"FISHERMAN'S FRIEND CHERRY SUGAR FREE 25GR"</f>
        <v>FISHERMAN'S FRIEND CHERRY SUGAR FREE 25GR</v>
      </c>
      <c r="F145" s="19">
        <v>1.24</v>
      </c>
      <c r="G145" s="14">
        <v>0.2</v>
      </c>
      <c r="H145" s="28">
        <f t="shared" si="5"/>
        <v>0.99199999999999999</v>
      </c>
      <c r="I145" s="12"/>
      <c r="J145" s="220"/>
    </row>
    <row r="146" spans="1:10" x14ac:dyDescent="0.25">
      <c r="A146" s="57">
        <v>5200316315101</v>
      </c>
      <c r="B146" s="71" t="str">
        <f>"ADAMS PHARM ΕΜΠΟΡΙΚΗ Α.Ε."</f>
        <v>ADAMS PHARM ΕΜΠΟΡΙΚΗ Α.Ε.</v>
      </c>
      <c r="C146" s="21" t="str">
        <f>"56708"</f>
        <v>56708</v>
      </c>
      <c r="D146" s="22" t="str">
        <f>"5200316315101"</f>
        <v>5200316315101</v>
      </c>
      <c r="E146" s="22" t="str">
        <f>"MACROVITA PROPOLIS SPRAY 30ML"</f>
        <v>MACROVITA PROPOLIS SPRAY 30ML</v>
      </c>
      <c r="F146" s="19">
        <v>7.9</v>
      </c>
      <c r="G146" s="24">
        <v>0.08</v>
      </c>
      <c r="H146" s="23">
        <f t="shared" si="5"/>
        <v>7.2680000000000007</v>
      </c>
      <c r="I146" s="22"/>
      <c r="J146" s="36" t="s">
        <v>31</v>
      </c>
    </row>
    <row r="147" spans="1:10" s="2" customFormat="1" ht="15.75" thickBot="1" x14ac:dyDescent="0.3">
      <c r="A147" s="15">
        <v>5201263006593</v>
      </c>
      <c r="B147" s="99" t="str">
        <f>"ADAMS PHARM ΕΜΠΟΡΙΚΗ Α.Ε."</f>
        <v>ADAMS PHARM ΕΜΠΟΡΙΚΗ Α.Ε.</v>
      </c>
      <c r="C147" s="11" t="str">
        <f>"31139"</f>
        <v>31139</v>
      </c>
      <c r="D147" s="12" t="str">
        <f>"5201263006593"</f>
        <v>5201263006593</v>
      </c>
      <c r="E147" s="12" t="str">
        <f>"SNEEZY MENTHOL ΜΑΝΤΗΛΑΚΙΑ x12"</f>
        <v>SNEEZY MENTHOL ΜΑΝΤΗΛΑΚΙΑ x12</v>
      </c>
      <c r="F147" s="19">
        <v>0.95</v>
      </c>
      <c r="G147" s="14">
        <v>0.25</v>
      </c>
      <c r="H147" s="28">
        <f t="shared" si="5"/>
        <v>0.71249999999999991</v>
      </c>
      <c r="I147" s="12"/>
      <c r="J147" s="46" t="s">
        <v>45</v>
      </c>
    </row>
    <row r="148" spans="1:10" x14ac:dyDescent="0.25">
      <c r="A148" s="21">
        <v>8001841906829</v>
      </c>
      <c r="B148" s="131" t="str">
        <f>"ΠΡΟΚΤΕΡ &amp; ΓΚΑΜΠΛ ΕΛΛΑΣ Μ.Ε.Π.Ε."</f>
        <v>ΠΡΟΚΤΕΡ &amp; ΓΚΑΜΠΛ ΕΛΛΑΣ Μ.Ε.Π.Ε.</v>
      </c>
      <c r="C148" s="57" t="str">
        <f>"80765"</f>
        <v>80765</v>
      </c>
      <c r="D148" s="41" t="str">
        <f>"8001841906829"</f>
        <v>8001841906829</v>
      </c>
      <c r="E148" s="41" t="str">
        <f>"ZZZ QUIL NATURA 30GELS"</f>
        <v>ZZZ QUIL NATURA 30GELS</v>
      </c>
      <c r="F148" s="19">
        <v>9.56</v>
      </c>
      <c r="G148" s="43">
        <v>0.08</v>
      </c>
      <c r="H148" s="42">
        <f t="shared" si="5"/>
        <v>8.7952000000000012</v>
      </c>
      <c r="I148" s="41"/>
      <c r="J148" s="223" t="s">
        <v>14</v>
      </c>
    </row>
    <row r="149" spans="1:10" ht="15.75" thickBot="1" x14ac:dyDescent="0.3">
      <c r="A149" s="26">
        <v>8001841906850</v>
      </c>
      <c r="B149" s="132" t="str">
        <f>"ΠΡΟΚΤΕΡ &amp; ΓΚΑΜΠΛ ΕΛΛΑΣ Μ.Ε.Π.Ε."</f>
        <v>ΠΡΟΚΤΕΡ &amp; ΓΚΑΜΠΛ ΕΛΛΑΣ Μ.Ε.Π.Ε.</v>
      </c>
      <c r="C149" s="30" t="str">
        <f>"80766"</f>
        <v>80766</v>
      </c>
      <c r="D149" s="31" t="str">
        <f>"8001841906850"</f>
        <v>8001841906850</v>
      </c>
      <c r="E149" s="31" t="str">
        <f>"ZZZ QUIL NATURA 60GELS"</f>
        <v>ZZZ QUIL NATURA 60GELS</v>
      </c>
      <c r="F149" s="19">
        <v>14.93</v>
      </c>
      <c r="G149" s="33">
        <v>0.08</v>
      </c>
      <c r="H149" s="32">
        <f t="shared" si="5"/>
        <v>13.7356</v>
      </c>
      <c r="I149" s="31"/>
      <c r="J149" s="223"/>
    </row>
    <row r="150" spans="1:10" x14ac:dyDescent="0.25">
      <c r="A150" s="6">
        <v>5201314122272</v>
      </c>
      <c r="B150" s="129" t="str">
        <f>"ΣΑΡΑΝΤΗΣ ΓΡ. ΑΒΕΕ"</f>
        <v>ΣΑΡΑΝΤΗΣ ΓΡ. ΑΒΕΕ</v>
      </c>
      <c r="C150" s="6" t="str">
        <f>"59045"</f>
        <v>59045</v>
      </c>
      <c r="D150" s="7" t="str">
        <f>"5201314122272"</f>
        <v>5201314122272</v>
      </c>
      <c r="E150" s="7" t="str">
        <f>"LANES CALM LIFE 100CAPS"</f>
        <v>LANES CALM LIFE 100CAPS</v>
      </c>
      <c r="F150" s="19">
        <v>11.05</v>
      </c>
      <c r="G150" s="9">
        <v>0.2</v>
      </c>
      <c r="H150" s="23">
        <f t="shared" si="5"/>
        <v>8.84</v>
      </c>
      <c r="I150" s="7"/>
      <c r="J150" s="225" t="s">
        <v>36</v>
      </c>
    </row>
    <row r="151" spans="1:10" x14ac:dyDescent="0.25">
      <c r="A151" s="10">
        <v>5201314145417</v>
      </c>
      <c r="B151" s="39" t="str">
        <f>"ΣΑΡΑΝΤΗΣ ΓΡ. ΑΒΕΕ"</f>
        <v>ΣΑΡΑΝΤΗΣ ΓΡ. ΑΒΕΕ</v>
      </c>
      <c r="C151" s="10" t="str">
        <f>"77585"</f>
        <v>77585</v>
      </c>
      <c r="D151" s="3" t="str">
        <f>"5201314145417"</f>
        <v>5201314145417</v>
      </c>
      <c r="E151" s="3" t="str">
        <f>"LANES CALM LIFE 24H 30CAPS+30CAPS"</f>
        <v>LANES CALM LIFE 24H 30CAPS+30CAPS</v>
      </c>
      <c r="F151" s="19">
        <v>11.94</v>
      </c>
      <c r="G151" s="5">
        <v>0.2</v>
      </c>
      <c r="H151" s="19">
        <f t="shared" si="5"/>
        <v>9.5519999999999996</v>
      </c>
      <c r="I151" s="3"/>
      <c r="J151" s="226"/>
    </row>
    <row r="152" spans="1:10" ht="15.75" thickBot="1" x14ac:dyDescent="0.3">
      <c r="A152" s="15">
        <v>5201314122265</v>
      </c>
      <c r="B152" s="99" t="str">
        <f>"ΣΑΡΑΝΤΗΣ ΓΡ. ΑΒΕΕ"</f>
        <v>ΣΑΡΑΝΤΗΣ ΓΡ. ΑΒΕΕ</v>
      </c>
      <c r="C152" s="15" t="str">
        <f>"59489"</f>
        <v>59489</v>
      </c>
      <c r="D152" s="16" t="str">
        <f>"5201314122265"</f>
        <v>5201314122265</v>
      </c>
      <c r="E152" s="16" t="str">
        <f>"LANES CALM LIFE 50CAPS"</f>
        <v>LANES CALM LIFE 50CAPS</v>
      </c>
      <c r="F152" s="32">
        <v>7.47</v>
      </c>
      <c r="G152" s="17">
        <v>0.2</v>
      </c>
      <c r="H152" s="32">
        <f t="shared" si="5"/>
        <v>5.976</v>
      </c>
      <c r="I152" s="16"/>
      <c r="J152" s="226"/>
    </row>
    <row r="153" spans="1:10" s="1" customFormat="1" ht="45" customHeight="1" thickBot="1" x14ac:dyDescent="0.3">
      <c r="A153" s="210">
        <v>5206856000071</v>
      </c>
      <c r="B153" s="211" t="s">
        <v>238</v>
      </c>
      <c r="C153" s="212" t="s">
        <v>239</v>
      </c>
      <c r="D153" s="213" t="s">
        <v>240</v>
      </c>
      <c r="E153" s="213" t="s">
        <v>241</v>
      </c>
      <c r="F153" s="214">
        <v>13.7</v>
      </c>
      <c r="G153" s="215">
        <v>0.15</v>
      </c>
      <c r="H153" s="214">
        <f t="shared" si="5"/>
        <v>11.645</v>
      </c>
      <c r="I153" s="213"/>
      <c r="J153" s="208" t="s">
        <v>242</v>
      </c>
    </row>
    <row r="154" spans="1:10" s="1" customFormat="1" ht="45" customHeight="1" thickBot="1" x14ac:dyDescent="0.3">
      <c r="A154" s="201">
        <v>5201314047353</v>
      </c>
      <c r="B154" s="202" t="str">
        <f>"ΣΑΡΑΝΤΗΣ ΓΡ. ΑΒΕΕ"</f>
        <v>ΣΑΡΑΝΤΗΣ ΓΡ. ΑΒΕΕ</v>
      </c>
      <c r="C154" s="203" t="str">
        <f>"02082"</f>
        <v>02082</v>
      </c>
      <c r="D154" s="204" t="str">
        <f>"5201314047353"</f>
        <v>5201314047353</v>
      </c>
      <c r="E154" s="204" t="str">
        <f>"LANES VIT.C EFF.TABL. 20x1000MG ΠΟΡΤΟΚΑΛΙ"</f>
        <v>LANES VIT.C EFF.TABL. 20x1000MG ΠΟΡΤΟΚΑΛΙ</v>
      </c>
      <c r="F154" s="42">
        <v>3.55</v>
      </c>
      <c r="G154" s="205">
        <v>0.1</v>
      </c>
      <c r="H154" s="206">
        <f>F154-F154*G154</f>
        <v>3.1949999999999998</v>
      </c>
      <c r="I154" s="204"/>
      <c r="J154" s="207" t="s">
        <v>182</v>
      </c>
    </row>
    <row r="155" spans="1:10" x14ac:dyDescent="0.25">
      <c r="A155" s="209">
        <v>5201314047438</v>
      </c>
      <c r="B155" s="188" t="s">
        <v>164</v>
      </c>
      <c r="C155" s="6" t="s">
        <v>165</v>
      </c>
      <c r="D155" s="7" t="s">
        <v>166</v>
      </c>
      <c r="E155" s="7" t="s">
        <v>158</v>
      </c>
      <c r="F155" s="19">
        <v>4.1500000000000004</v>
      </c>
      <c r="G155" s="9">
        <v>0.08</v>
      </c>
      <c r="H155" s="23">
        <f t="shared" si="5"/>
        <v>3.8180000000000005</v>
      </c>
      <c r="I155" s="7"/>
      <c r="J155" s="225" t="s">
        <v>183</v>
      </c>
    </row>
    <row r="156" spans="1:10" x14ac:dyDescent="0.25">
      <c r="A156" s="209">
        <v>5201314047353</v>
      </c>
      <c r="B156" s="189" t="s">
        <v>164</v>
      </c>
      <c r="C156" s="55" t="s">
        <v>167</v>
      </c>
      <c r="D156" s="47" t="s">
        <v>168</v>
      </c>
      <c r="E156" s="47" t="s">
        <v>169</v>
      </c>
      <c r="F156" s="19">
        <v>3.55</v>
      </c>
      <c r="G156" s="48">
        <v>0.08</v>
      </c>
      <c r="H156" s="42">
        <f t="shared" si="5"/>
        <v>3.266</v>
      </c>
      <c r="I156" s="47"/>
      <c r="J156" s="226"/>
    </row>
    <row r="157" spans="1:10" x14ac:dyDescent="0.25">
      <c r="A157" s="209">
        <v>5201314160755</v>
      </c>
      <c r="B157" s="189" t="s">
        <v>164</v>
      </c>
      <c r="C157" s="10" t="s">
        <v>170</v>
      </c>
      <c r="D157" s="3" t="s">
        <v>171</v>
      </c>
      <c r="E157" s="3" t="s">
        <v>159</v>
      </c>
      <c r="F157" s="19">
        <v>7.16</v>
      </c>
      <c r="G157" s="5">
        <v>0.08</v>
      </c>
      <c r="H157" s="19">
        <f t="shared" si="5"/>
        <v>6.5872000000000002</v>
      </c>
      <c r="I157" s="3"/>
      <c r="J157" s="226"/>
    </row>
    <row r="158" spans="1:10" x14ac:dyDescent="0.25">
      <c r="A158" s="209">
        <v>5201314047414</v>
      </c>
      <c r="B158" s="189" t="s">
        <v>164</v>
      </c>
      <c r="C158" s="10">
        <v>6525</v>
      </c>
      <c r="D158" s="3" t="s">
        <v>172</v>
      </c>
      <c r="E158" s="3" t="s">
        <v>160</v>
      </c>
      <c r="F158" s="19">
        <v>4.28</v>
      </c>
      <c r="G158" s="5">
        <v>0.08</v>
      </c>
      <c r="H158" s="19">
        <f t="shared" si="5"/>
        <v>3.9376000000000002</v>
      </c>
      <c r="I158" s="3"/>
      <c r="J158" s="226"/>
    </row>
    <row r="159" spans="1:10" x14ac:dyDescent="0.25">
      <c r="A159" s="209">
        <v>5201314047407</v>
      </c>
      <c r="B159" s="189" t="s">
        <v>164</v>
      </c>
      <c r="C159" s="10">
        <v>5000</v>
      </c>
      <c r="D159" s="3" t="s">
        <v>173</v>
      </c>
      <c r="E159" s="3" t="s">
        <v>161</v>
      </c>
      <c r="F159" s="19">
        <v>4.9400000000000004</v>
      </c>
      <c r="G159" s="5">
        <v>0.08</v>
      </c>
      <c r="H159" s="19">
        <f t="shared" si="5"/>
        <v>4.5448000000000004</v>
      </c>
      <c r="I159" s="3"/>
      <c r="J159" s="226"/>
    </row>
    <row r="160" spans="1:10" x14ac:dyDescent="0.25">
      <c r="A160" s="209">
        <v>5201314047384</v>
      </c>
      <c r="B160" s="189" t="s">
        <v>164</v>
      </c>
      <c r="C160" s="10" t="s">
        <v>174</v>
      </c>
      <c r="D160" s="3" t="s">
        <v>175</v>
      </c>
      <c r="E160" s="3" t="s">
        <v>162</v>
      </c>
      <c r="F160" s="19">
        <v>3.85</v>
      </c>
      <c r="G160" s="5">
        <v>0.08</v>
      </c>
      <c r="H160" s="19">
        <f t="shared" si="5"/>
        <v>3.5420000000000003</v>
      </c>
      <c r="I160" s="3"/>
      <c r="J160" s="226"/>
    </row>
    <row r="161" spans="1:10" ht="15.75" thickBot="1" x14ac:dyDescent="0.3">
      <c r="A161" s="209">
        <v>5201314047490</v>
      </c>
      <c r="B161" s="190" t="s">
        <v>164</v>
      </c>
      <c r="C161" s="11" t="s">
        <v>176</v>
      </c>
      <c r="D161" s="12" t="s">
        <v>177</v>
      </c>
      <c r="E161" s="12" t="s">
        <v>163</v>
      </c>
      <c r="F161" s="19">
        <v>5.54</v>
      </c>
      <c r="G161" s="14">
        <v>0.08</v>
      </c>
      <c r="H161" s="28">
        <f t="shared" si="5"/>
        <v>5.0968</v>
      </c>
      <c r="I161" s="12"/>
      <c r="J161" s="227"/>
    </row>
    <row r="162" spans="1:10" ht="15.75" thickBot="1" x14ac:dyDescent="0.3">
      <c r="A162" s="209">
        <v>5201314047391</v>
      </c>
      <c r="B162" s="189" t="s">
        <v>164</v>
      </c>
      <c r="C162" s="59" t="s">
        <v>178</v>
      </c>
      <c r="D162" s="49" t="s">
        <v>179</v>
      </c>
      <c r="E162" s="49" t="s">
        <v>180</v>
      </c>
      <c r="F162" s="19">
        <v>4.1500000000000004</v>
      </c>
      <c r="G162" s="50">
        <v>0.25</v>
      </c>
      <c r="H162" s="74">
        <f t="shared" ref="H162:H225" si="8">F162-F162*G162</f>
        <v>3.1125000000000003</v>
      </c>
      <c r="I162" s="49"/>
      <c r="J162" s="175" t="s">
        <v>181</v>
      </c>
    </row>
    <row r="163" spans="1:10" ht="15.75" thickBot="1" x14ac:dyDescent="0.3">
      <c r="A163" s="191">
        <v>5214001257102</v>
      </c>
      <c r="B163" s="192" t="str">
        <f>"ΣΥ.ΦΑ. ΘΕΣΣΑΛΟΝΙΚΗΣ Σ.Π.Ε."</f>
        <v>ΣΥ.ΦΑ. ΘΕΣΣΑΛΟΝΙΚΗΣ Σ.Π.Ε.</v>
      </c>
      <c r="C163" s="61" t="str">
        <f>"48059"</f>
        <v>48059</v>
      </c>
      <c r="D163" s="62" t="str">
        <f>"5214001257102"</f>
        <v>5214001257102</v>
      </c>
      <c r="E163" s="62" t="str">
        <f>"HAPI END CAPS x10"</f>
        <v>HAPI END CAPS x10</v>
      </c>
      <c r="F163" s="19">
        <v>17.86</v>
      </c>
      <c r="G163" s="64">
        <v>0.1</v>
      </c>
      <c r="H163" s="63">
        <f t="shared" si="8"/>
        <v>16.073999999999998</v>
      </c>
      <c r="I163" s="62"/>
      <c r="J163" s="98" t="s">
        <v>21</v>
      </c>
    </row>
    <row r="164" spans="1:10" ht="15" customHeight="1" x14ac:dyDescent="0.25">
      <c r="A164" s="6">
        <v>5213006870606</v>
      </c>
      <c r="B164" s="129" t="str">
        <f t="shared" ref="B164:B198" si="9">"ΒΙΑΝ Α.Ε"</f>
        <v>ΒΙΑΝ Α.Ε</v>
      </c>
      <c r="C164" s="6" t="str">
        <f>"56166"</f>
        <v>56166</v>
      </c>
      <c r="D164" s="7" t="str">
        <f>"5213006870606"</f>
        <v>5213006870606</v>
      </c>
      <c r="E164" s="7" t="str">
        <f>"SUPERFOODS CRANBECARE 15200MG 30CAPS"</f>
        <v>SUPERFOODS CRANBECARE 15200MG 30CAPS</v>
      </c>
      <c r="F164" s="19">
        <v>9.26</v>
      </c>
      <c r="G164" s="9">
        <v>0.05</v>
      </c>
      <c r="H164" s="23">
        <f t="shared" si="8"/>
        <v>8.7970000000000006</v>
      </c>
      <c r="I164" s="7"/>
      <c r="J164" s="219" t="s">
        <v>51</v>
      </c>
    </row>
    <row r="165" spans="1:10" ht="15" customHeight="1" x14ac:dyDescent="0.25">
      <c r="A165" s="10">
        <v>5213006870415</v>
      </c>
      <c r="B165" s="39" t="str">
        <f t="shared" si="9"/>
        <v>ΒΙΑΝ Α.Ε</v>
      </c>
      <c r="C165" s="10" t="str">
        <f>"025012"</f>
        <v>025012</v>
      </c>
      <c r="D165" s="3" t="str">
        <f>"5213006870415"</f>
        <v>5213006870415</v>
      </c>
      <c r="E165" s="3" t="str">
        <f>"SUPERFOODS ECHINACEA x3 30CAPS"</f>
        <v>SUPERFOODS ECHINACEA x3 30CAPS</v>
      </c>
      <c r="F165" s="19">
        <v>9.74</v>
      </c>
      <c r="G165" s="5">
        <v>0.05</v>
      </c>
      <c r="H165" s="19">
        <f t="shared" si="8"/>
        <v>9.2530000000000001</v>
      </c>
      <c r="I165" s="3"/>
      <c r="J165" s="224"/>
    </row>
    <row r="166" spans="1:10" ht="15" customHeight="1" x14ac:dyDescent="0.25">
      <c r="A166" s="10">
        <v>5213006870484</v>
      </c>
      <c r="B166" s="39" t="str">
        <f t="shared" si="9"/>
        <v>ΒΙΑΝ Α.Ε</v>
      </c>
      <c r="C166" s="10" t="str">
        <f>"023694"</f>
        <v>023694</v>
      </c>
      <c r="D166" s="3" t="str">
        <f>"5213006870484"</f>
        <v>5213006870484</v>
      </c>
      <c r="E166" s="3" t="str">
        <f>"SUPERFOODS HERBATUSS KIDS 120ML"</f>
        <v>SUPERFOODS HERBATUSS KIDS 120ML</v>
      </c>
      <c r="F166" s="19">
        <v>7.5</v>
      </c>
      <c r="G166" s="5">
        <v>0.05</v>
      </c>
      <c r="H166" s="19">
        <f t="shared" si="8"/>
        <v>7.125</v>
      </c>
      <c r="I166" s="3"/>
      <c r="J166" s="224"/>
    </row>
    <row r="167" spans="1:10" ht="15" customHeight="1" x14ac:dyDescent="0.25">
      <c r="A167" s="10">
        <v>5213006870262</v>
      </c>
      <c r="B167" s="39" t="str">
        <f t="shared" si="9"/>
        <v>ΒΙΑΝ Α.Ε</v>
      </c>
      <c r="C167" s="10" t="str">
        <f>"54082"</f>
        <v>54082</v>
      </c>
      <c r="D167" s="3" t="str">
        <f>"5213006870262"</f>
        <v>5213006870262</v>
      </c>
      <c r="E167" s="3" t="str">
        <f>"SUPERFOODS MACA 3000MG 50 CAPS"</f>
        <v>SUPERFOODS MACA 3000MG 50 CAPS</v>
      </c>
      <c r="F167" s="19">
        <v>14.64</v>
      </c>
      <c r="G167" s="5">
        <v>0.05</v>
      </c>
      <c r="H167" s="19">
        <f t="shared" si="8"/>
        <v>13.908000000000001</v>
      </c>
      <c r="I167" s="3"/>
      <c r="J167" s="224"/>
    </row>
    <row r="168" spans="1:10" ht="15" customHeight="1" x14ac:dyDescent="0.25">
      <c r="A168" s="10">
        <v>5213006870514</v>
      </c>
      <c r="B168" s="39" t="str">
        <f t="shared" si="9"/>
        <v>ΒΙΑΝ Α.Ε</v>
      </c>
      <c r="C168" s="10" t="str">
        <f>"113925"</f>
        <v>113925</v>
      </c>
      <c r="D168" s="3" t="str">
        <f>"5213006870514"</f>
        <v>5213006870514</v>
      </c>
      <c r="E168" s="3" t="str">
        <f>"SUPERFOODS MEMOACT 30CAPS"</f>
        <v>SUPERFOODS MEMOACT 30CAPS</v>
      </c>
      <c r="F168" s="19">
        <v>9.3800000000000008</v>
      </c>
      <c r="G168" s="5">
        <v>0.05</v>
      </c>
      <c r="H168" s="19">
        <f t="shared" si="8"/>
        <v>8.9110000000000014</v>
      </c>
      <c r="I168" s="3"/>
      <c r="J168" s="224"/>
    </row>
    <row r="169" spans="1:10" ht="15" customHeight="1" x14ac:dyDescent="0.25">
      <c r="A169" s="10">
        <v>5213006870019</v>
      </c>
      <c r="B169" s="39" t="str">
        <f t="shared" si="9"/>
        <v>ΒΙΑΝ Α.Ε</v>
      </c>
      <c r="C169" s="10" t="str">
        <f>"28499"</f>
        <v>28499</v>
      </c>
      <c r="D169" s="3" t="str">
        <f>"5213006870019"</f>
        <v>5213006870019</v>
      </c>
      <c r="E169" s="3" t="str">
        <f>"SUPERFOODS OSTEOAID CAPS x30"</f>
        <v>SUPERFOODS OSTEOAID CAPS x30</v>
      </c>
      <c r="F169" s="19">
        <v>18.46</v>
      </c>
      <c r="G169" s="5">
        <v>0.05</v>
      </c>
      <c r="H169" s="19">
        <f t="shared" si="8"/>
        <v>17.536999999999999</v>
      </c>
      <c r="I169" s="3"/>
      <c r="J169" s="224"/>
    </row>
    <row r="170" spans="1:10" ht="15" customHeight="1" x14ac:dyDescent="0.25">
      <c r="A170" s="10">
        <v>5213006870521</v>
      </c>
      <c r="B170" s="39" t="str">
        <f t="shared" si="9"/>
        <v>ΒΙΑΝ Α.Ε</v>
      </c>
      <c r="C170" s="10" t="str">
        <f>"77725"</f>
        <v>77725</v>
      </c>
      <c r="D170" s="3" t="str">
        <f>"5213006870521"</f>
        <v>5213006870521</v>
      </c>
      <c r="E170" s="3" t="str">
        <f>"SUPERFOODS PROVIOMAX 15CAPS"</f>
        <v>SUPERFOODS PROVIOMAX 15CAPS</v>
      </c>
      <c r="F170" s="19">
        <v>6.69</v>
      </c>
      <c r="G170" s="5">
        <v>0.05</v>
      </c>
      <c r="H170" s="19">
        <f t="shared" si="8"/>
        <v>6.3555000000000001</v>
      </c>
      <c r="I170" s="3"/>
      <c r="J170" s="224"/>
    </row>
    <row r="171" spans="1:10" ht="15" customHeight="1" x14ac:dyDescent="0.25">
      <c r="A171" s="10">
        <v>5213006870446</v>
      </c>
      <c r="B171" s="39" t="str">
        <f t="shared" si="9"/>
        <v>ΒΙΑΝ Α.Ε</v>
      </c>
      <c r="C171" s="10" t="str">
        <f>"023693"</f>
        <v>023693</v>
      </c>
      <c r="D171" s="3" t="str">
        <f>"5213006870446"</f>
        <v>5213006870446</v>
      </c>
      <c r="E171" s="3" t="str">
        <f>"SUPERFOODS SAMBUCUS EFF.TABL.x20"</f>
        <v>SUPERFOODS SAMBUCUS EFF.TABL.x20</v>
      </c>
      <c r="F171" s="19">
        <v>4.5999999999999996</v>
      </c>
      <c r="G171" s="5">
        <v>0.05</v>
      </c>
      <c r="H171" s="19">
        <f t="shared" si="8"/>
        <v>4.3699999999999992</v>
      </c>
      <c r="I171" s="3"/>
      <c r="J171" s="224"/>
    </row>
    <row r="172" spans="1:10" ht="15" customHeight="1" x14ac:dyDescent="0.25">
      <c r="A172" s="10">
        <v>5213006870767</v>
      </c>
      <c r="B172" s="39" t="str">
        <f t="shared" si="9"/>
        <v>ΒΙΑΝ Α.Ε</v>
      </c>
      <c r="C172" s="10" t="str">
        <f>"74285"</f>
        <v>74285</v>
      </c>
      <c r="D172" s="3" t="str">
        <f>"5213006870767"</f>
        <v>5213006870767</v>
      </c>
      <c r="E172" s="3" t="str">
        <f>"SUPERFOODS SLEEP MOOD 30CAPS"</f>
        <v>SUPERFOODS SLEEP MOOD 30CAPS</v>
      </c>
      <c r="F172" s="19">
        <v>9.5</v>
      </c>
      <c r="G172" s="5">
        <v>0.05</v>
      </c>
      <c r="H172" s="19">
        <f t="shared" si="8"/>
        <v>9.0250000000000004</v>
      </c>
      <c r="I172" s="3"/>
      <c r="J172" s="224"/>
    </row>
    <row r="173" spans="1:10" ht="15" customHeight="1" x14ac:dyDescent="0.25">
      <c r="A173" s="10">
        <v>5212002700351</v>
      </c>
      <c r="B173" s="39" t="str">
        <f t="shared" si="9"/>
        <v>ΒΙΑΝ Α.Ε</v>
      </c>
      <c r="C173" s="10" t="str">
        <f>"053793"</f>
        <v>053793</v>
      </c>
      <c r="D173" s="3" t="str">
        <f>"5212002700351"</f>
        <v>5212002700351</v>
      </c>
      <c r="E173" s="3" t="str">
        <f>"SUPERFOODS SPIRULINA GOLD EUBIAS 180TABS"</f>
        <v>SUPERFOODS SPIRULINA GOLD EUBIAS 180TABS</v>
      </c>
      <c r="F173" s="19">
        <v>12</v>
      </c>
      <c r="G173" s="5">
        <v>0.05</v>
      </c>
      <c r="H173" s="19">
        <f t="shared" si="8"/>
        <v>11.4</v>
      </c>
      <c r="I173" s="3"/>
      <c r="J173" s="224"/>
    </row>
    <row r="174" spans="1:10" ht="15" customHeight="1" x14ac:dyDescent="0.25">
      <c r="A174" s="10">
        <v>5213006870194</v>
      </c>
      <c r="B174" s="39" t="str">
        <f t="shared" si="9"/>
        <v>ΒΙΑΝ Α.Ε</v>
      </c>
      <c r="C174" s="10" t="str">
        <f>"66292"</f>
        <v>66292</v>
      </c>
      <c r="D174" s="3" t="str">
        <f>"5213006870194"</f>
        <v>5213006870194</v>
      </c>
      <c r="E174" s="3" t="str">
        <f>"SUPERFOODS VALERIANA PLUS 1200MG 50CAPS"</f>
        <v>SUPERFOODS VALERIANA PLUS 1200MG 50CAPS</v>
      </c>
      <c r="F174" s="19">
        <v>8.31</v>
      </c>
      <c r="G174" s="5">
        <v>0.05</v>
      </c>
      <c r="H174" s="19">
        <f t="shared" si="8"/>
        <v>7.8945000000000007</v>
      </c>
      <c r="I174" s="3"/>
      <c r="J174" s="224"/>
    </row>
    <row r="175" spans="1:10" ht="15" customHeight="1" x14ac:dyDescent="0.25">
      <c r="A175" s="10">
        <v>5213006870217</v>
      </c>
      <c r="B175" s="39" t="str">
        <f t="shared" si="9"/>
        <v>ΒΙΑΝ Α.Ε</v>
      </c>
      <c r="C175" s="10" t="str">
        <f>"6442"</f>
        <v>6442</v>
      </c>
      <c r="D175" s="3" t="str">
        <f>"5213006870217"</f>
        <v>5213006870217</v>
      </c>
      <c r="E175" s="3" t="str">
        <f>"SUPERFOODS ΑΟΣΜΟ ΣΚΟΡΔΟ 50 CAPS"</f>
        <v>SUPERFOODS ΑΟΣΜΟ ΣΚΟΡΔΟ 50 CAPS</v>
      </c>
      <c r="F175" s="19">
        <v>9.5</v>
      </c>
      <c r="G175" s="5">
        <v>0.05</v>
      </c>
      <c r="H175" s="19">
        <f t="shared" si="8"/>
        <v>9.0250000000000004</v>
      </c>
      <c r="I175" s="3"/>
      <c r="J175" s="224"/>
    </row>
    <row r="176" spans="1:10" ht="15" customHeight="1" x14ac:dyDescent="0.25">
      <c r="A176" s="10">
        <v>5213006870033</v>
      </c>
      <c r="B176" s="39" t="str">
        <f t="shared" si="9"/>
        <v>ΒΙΑΝ Α.Ε</v>
      </c>
      <c r="C176" s="10" t="str">
        <f>"01234"</f>
        <v>01234</v>
      </c>
      <c r="D176" s="3" t="str">
        <f>"5213006870033"</f>
        <v>5213006870033</v>
      </c>
      <c r="E176" s="3" t="str">
        <f>"SUPERFOODS ΒΑΣΙΛΙΚΟΣ ΠΟΛΤΟΣ 50CAPS"</f>
        <v>SUPERFOODS ΒΑΣΙΛΙΚΟΣ ΠΟΛΤΟΣ 50CAPS</v>
      </c>
      <c r="F176" s="19">
        <v>12.49</v>
      </c>
      <c r="G176" s="5">
        <v>0.05</v>
      </c>
      <c r="H176" s="19">
        <f t="shared" si="8"/>
        <v>11.865500000000001</v>
      </c>
      <c r="I176" s="3"/>
      <c r="J176" s="224"/>
    </row>
    <row r="177" spans="1:10" ht="15" customHeight="1" x14ac:dyDescent="0.25">
      <c r="A177" s="10">
        <v>5213006870200</v>
      </c>
      <c r="B177" s="39" t="str">
        <f t="shared" si="9"/>
        <v>ΒΙΑΝ Α.Ε</v>
      </c>
      <c r="C177" s="10" t="str">
        <f>"0001478"</f>
        <v>0001478</v>
      </c>
      <c r="D177" s="3" t="str">
        <f>"5213006870200"</f>
        <v>5213006870200</v>
      </c>
      <c r="E177" s="3" t="str">
        <f>"SUPERFOODS ΓΑΙΔΟΥΡΑΓΚΑΘΟ 50CAPS MILK THISTLE"</f>
        <v>SUPERFOODS ΓΑΙΔΟΥΡΑΓΚΑΘΟ 50CAPS MILK THISTLE</v>
      </c>
      <c r="F177" s="19">
        <v>11.89</v>
      </c>
      <c r="G177" s="5">
        <v>0.05</v>
      </c>
      <c r="H177" s="19">
        <f t="shared" si="8"/>
        <v>11.295500000000001</v>
      </c>
      <c r="I177" s="3"/>
      <c r="J177" s="224"/>
    </row>
    <row r="178" spans="1:10" ht="15" customHeight="1" x14ac:dyDescent="0.25">
      <c r="A178" s="10">
        <v>5213006870736</v>
      </c>
      <c r="B178" s="39" t="str">
        <f t="shared" si="9"/>
        <v>ΒΙΑΝ Α.Ε</v>
      </c>
      <c r="C178" s="10" t="str">
        <f>"48400"</f>
        <v>48400</v>
      </c>
      <c r="D178" s="3" t="str">
        <f>"5213006870736"</f>
        <v>5213006870736</v>
      </c>
      <c r="E178" s="3" t="str">
        <f>"SUPERFOODS ΙΠΠΟΦΑΕΣ 50+ 30CAPS"</f>
        <v>SUPERFOODS ΙΠΠΟΦΑΕΣ 50+ 30CAPS</v>
      </c>
      <c r="F178" s="19">
        <v>13.08</v>
      </c>
      <c r="G178" s="5">
        <v>0.05</v>
      </c>
      <c r="H178" s="19">
        <f t="shared" si="8"/>
        <v>12.426</v>
      </c>
      <c r="I178" s="3"/>
      <c r="J178" s="224"/>
    </row>
    <row r="179" spans="1:10" ht="15" customHeight="1" x14ac:dyDescent="0.25">
      <c r="A179" s="10">
        <v>5213006870156</v>
      </c>
      <c r="B179" s="39" t="str">
        <f t="shared" si="9"/>
        <v>ΒΙΑΝ Α.Ε</v>
      </c>
      <c r="C179" s="10" t="str">
        <f>"052568"</f>
        <v>052568</v>
      </c>
      <c r="D179" s="3" t="str">
        <f>"5213006870156"</f>
        <v>5213006870156</v>
      </c>
      <c r="E179" s="3" t="str">
        <f>"SUPERFOODS ΙΠΠΟΦΑΕΣ CAPS x50"</f>
        <v>SUPERFOODS ΙΠΠΟΦΑΕΣ CAPS x50</v>
      </c>
      <c r="F179" s="19">
        <v>17.27</v>
      </c>
      <c r="G179" s="5">
        <v>0.05</v>
      </c>
      <c r="H179" s="19">
        <f t="shared" si="8"/>
        <v>16.406500000000001</v>
      </c>
      <c r="I179" s="3"/>
      <c r="J179" s="224"/>
    </row>
    <row r="180" spans="1:10" ht="15" customHeight="1" x14ac:dyDescent="0.25">
      <c r="A180" s="10">
        <v>5213006870743</v>
      </c>
      <c r="B180" s="39" t="str">
        <f t="shared" si="9"/>
        <v>ΒΙΑΝ Α.Ε</v>
      </c>
      <c r="C180" s="10" t="str">
        <f>"38799"</f>
        <v>38799</v>
      </c>
      <c r="D180" s="3" t="str">
        <f>"5213006870743"</f>
        <v>5213006870743</v>
      </c>
      <c r="E180" s="3" t="str">
        <f>"SUPERFOODS ΙΠΠΟΦΑΕΣ ENERGY + GINSENG 30CAPS"</f>
        <v>SUPERFOODS ΙΠΠΟΦΑΕΣ ENERGY + GINSENG 30CAPS</v>
      </c>
      <c r="F180" s="19">
        <v>13.08</v>
      </c>
      <c r="G180" s="5">
        <v>0.05</v>
      </c>
      <c r="H180" s="19">
        <f t="shared" si="8"/>
        <v>12.426</v>
      </c>
      <c r="I180" s="3"/>
      <c r="J180" s="224"/>
    </row>
    <row r="181" spans="1:10" ht="15" customHeight="1" x14ac:dyDescent="0.25">
      <c r="A181" s="10">
        <v>5213006870729</v>
      </c>
      <c r="B181" s="39" t="str">
        <f t="shared" si="9"/>
        <v>ΒΙΑΝ Α.Ε</v>
      </c>
      <c r="C181" s="10" t="str">
        <f>"38800"</f>
        <v>38800</v>
      </c>
      <c r="D181" s="3" t="str">
        <f>"5213006870729"</f>
        <v>5213006870729</v>
      </c>
      <c r="E181" s="3" t="str">
        <f>"SUPERFOODS ΙΠΠΟΦΑΕΣ WOMAN  30CAPS"</f>
        <v>SUPERFOODS ΙΠΠΟΦΑΕΣ WOMAN  30CAPS</v>
      </c>
      <c r="F181" s="19">
        <v>13.08</v>
      </c>
      <c r="G181" s="5">
        <v>0.05</v>
      </c>
      <c r="H181" s="19">
        <f t="shared" si="8"/>
        <v>12.426</v>
      </c>
      <c r="I181" s="3"/>
      <c r="J181" s="224"/>
    </row>
    <row r="182" spans="1:10" ht="15" customHeight="1" thickBot="1" x14ac:dyDescent="0.3">
      <c r="A182" s="11">
        <v>5213006870187</v>
      </c>
      <c r="B182" s="130" t="str">
        <f t="shared" si="9"/>
        <v>ΒΙΑΝ Α.Ε</v>
      </c>
      <c r="C182" s="11" t="str">
        <f>"052755"</f>
        <v>052755</v>
      </c>
      <c r="D182" s="12" t="str">
        <f>"5213006870187"</f>
        <v>5213006870187</v>
      </c>
      <c r="E182" s="12" t="str">
        <f>"SUPERFOODS ΚΑΝΕΛΑ EXTRA 50CAPS"</f>
        <v>SUPERFOODS ΚΑΝΕΛΑ EXTRA 50CAPS</v>
      </c>
      <c r="F182" s="19">
        <v>10.46</v>
      </c>
      <c r="G182" s="14">
        <v>0.05</v>
      </c>
      <c r="H182" s="28">
        <f t="shared" si="8"/>
        <v>9.9370000000000012</v>
      </c>
      <c r="I182" s="12"/>
      <c r="J182" s="220"/>
    </row>
    <row r="183" spans="1:10" ht="15" customHeight="1" x14ac:dyDescent="0.25">
      <c r="A183" s="57">
        <v>5203622265788</v>
      </c>
      <c r="B183" s="71" t="str">
        <f t="shared" si="9"/>
        <v>ΒΙΑΝ Α.Ε</v>
      </c>
      <c r="C183" s="21" t="str">
        <f>"107625"</f>
        <v>107625</v>
      </c>
      <c r="D183" s="22" t="str">
        <f>"5203622265788"</f>
        <v>5203622265788</v>
      </c>
      <c r="E183" s="22" t="str">
        <f>"TONOTIL 15 DRINK AMP. 10ML 4 ΑΜΙΝΟΞΕΑ + B12"</f>
        <v>TONOTIL 15 DRINK AMP. 10ML 4 ΑΜΙΝΟΞΕΑ + B12</v>
      </c>
      <c r="F183" s="19">
        <v>9.5</v>
      </c>
      <c r="G183" s="24">
        <v>7.0000000000000007E-2</v>
      </c>
      <c r="H183" s="23">
        <f t="shared" si="8"/>
        <v>8.8350000000000009</v>
      </c>
      <c r="I183" s="22"/>
      <c r="J183" s="221" t="s">
        <v>11</v>
      </c>
    </row>
    <row r="184" spans="1:10" ht="15" customHeight="1" thickBot="1" x14ac:dyDescent="0.3">
      <c r="A184" s="25">
        <v>5203622093824</v>
      </c>
      <c r="B184" s="40" t="str">
        <f t="shared" si="9"/>
        <v>ΒΙΑΝ Α.Ε</v>
      </c>
      <c r="C184" s="26" t="str">
        <f>"03705"</f>
        <v>03705</v>
      </c>
      <c r="D184" s="27" t="str">
        <f>"5203622093824"</f>
        <v>5203622093824</v>
      </c>
      <c r="E184" s="27" t="str">
        <f>"TONOTIL PLUS 15 DRINK AMP. 10ML"</f>
        <v>TONOTIL PLUS 15 DRINK AMP. 10ML</v>
      </c>
      <c r="F184" s="19">
        <v>11</v>
      </c>
      <c r="G184" s="29">
        <v>7.0000000000000007E-2</v>
      </c>
      <c r="H184" s="28">
        <f t="shared" si="8"/>
        <v>10.23</v>
      </c>
      <c r="I184" s="27"/>
      <c r="J184" s="222"/>
    </row>
    <row r="185" spans="1:10" ht="15" customHeight="1" x14ac:dyDescent="0.25">
      <c r="A185" s="10">
        <v>1643160320206</v>
      </c>
      <c r="B185" s="39" t="str">
        <f t="shared" si="9"/>
        <v>ΒΙΑΝ Α.Ε</v>
      </c>
      <c r="C185" s="55" t="str">
        <f>"72806"</f>
        <v>72806</v>
      </c>
      <c r="D185" s="47" t="str">
        <f>"1643160320206"</f>
        <v>1643160320206</v>
      </c>
      <c r="E185" s="47" t="str">
        <f>"ALTION 4SLEEP 30CAPS"</f>
        <v>ALTION 4SLEEP 30CAPS</v>
      </c>
      <c r="F185" s="19">
        <v>6.95</v>
      </c>
      <c r="G185" s="48">
        <v>0.05</v>
      </c>
      <c r="H185" s="42">
        <f t="shared" si="8"/>
        <v>6.6025</v>
      </c>
      <c r="I185" s="47"/>
      <c r="J185" s="226" t="s">
        <v>22</v>
      </c>
    </row>
    <row r="186" spans="1:10" ht="15" customHeight="1" x14ac:dyDescent="0.25">
      <c r="A186" s="10">
        <v>5203622100287</v>
      </c>
      <c r="B186" s="39" t="str">
        <f t="shared" si="9"/>
        <v>ΒΙΑΝ Α.Ε</v>
      </c>
      <c r="C186" s="10" t="str">
        <f>"42521"</f>
        <v>42521</v>
      </c>
      <c r="D186" s="3" t="str">
        <f>"5203622100287"</f>
        <v>5203622100287</v>
      </c>
      <c r="E186" s="3" t="str">
        <f>"ALTION D3 1000IU x30 STICKS"</f>
        <v>ALTION D3 1000IU x30 STICKS</v>
      </c>
      <c r="F186" s="19">
        <v>6.5</v>
      </c>
      <c r="G186" s="5">
        <v>0.05</v>
      </c>
      <c r="H186" s="19">
        <f t="shared" si="8"/>
        <v>6.1749999999999998</v>
      </c>
      <c r="I186" s="3"/>
      <c r="J186" s="226"/>
    </row>
    <row r="187" spans="1:10" ht="15" customHeight="1" x14ac:dyDescent="0.25">
      <c r="A187" s="10">
        <v>3700225602528</v>
      </c>
      <c r="B187" s="39" t="str">
        <f t="shared" si="9"/>
        <v>ΒΙΑΝ Α.Ε</v>
      </c>
      <c r="C187" s="10" t="str">
        <f>"51891"</f>
        <v>51891</v>
      </c>
      <c r="D187" s="3" t="str">
        <f>"3700225602528"</f>
        <v>3700225602528</v>
      </c>
      <c r="E187" s="3" t="str">
        <f>"ALTION KIDS D3 400IU DROPS 20ML"</f>
        <v>ALTION KIDS D3 400IU DROPS 20ML</v>
      </c>
      <c r="F187" s="19">
        <v>6.95</v>
      </c>
      <c r="G187" s="5">
        <v>0.05</v>
      </c>
      <c r="H187" s="19">
        <f t="shared" si="8"/>
        <v>6.6025</v>
      </c>
      <c r="I187" s="3"/>
      <c r="J187" s="226"/>
    </row>
    <row r="188" spans="1:10" ht="15" customHeight="1" x14ac:dyDescent="0.25">
      <c r="A188" s="10">
        <v>3700225602689</v>
      </c>
      <c r="B188" s="39" t="str">
        <f t="shared" si="9"/>
        <v>ΒΙΑΝ Α.Ε</v>
      </c>
      <c r="C188" s="10" t="str">
        <f>"72805"</f>
        <v>72805</v>
      </c>
      <c r="D188" s="3" t="str">
        <f>"3700225602689"</f>
        <v>3700225602689</v>
      </c>
      <c r="E188" s="3" t="str">
        <f>"ALTION KIDS D3 SUN 60SOFTGELS ΦΡΑΟΥΛΑ"</f>
        <v>ALTION KIDS D3 SUN 60SOFTGELS ΦΡΑΟΥΛΑ</v>
      </c>
      <c r="F188" s="19">
        <v>11.65</v>
      </c>
      <c r="G188" s="5">
        <v>0.05</v>
      </c>
      <c r="H188" s="19">
        <f t="shared" si="8"/>
        <v>11.067500000000001</v>
      </c>
      <c r="I188" s="3"/>
      <c r="J188" s="226"/>
    </row>
    <row r="189" spans="1:10" ht="15" customHeight="1" x14ac:dyDescent="0.25">
      <c r="A189" s="10">
        <v>3700225602450</v>
      </c>
      <c r="B189" s="39" t="str">
        <f t="shared" si="9"/>
        <v>ΒΙΑΝ Α.Ε</v>
      </c>
      <c r="C189" s="10" t="str">
        <f>"42525"</f>
        <v>42525</v>
      </c>
      <c r="D189" s="3" t="str">
        <f>"3700225602450"</f>
        <v>3700225602450</v>
      </c>
      <c r="E189" s="3" t="str">
        <f>"ALTION KIDS IQ 60 ΖΕΛΕΔΑΚΙΑ"</f>
        <v>ALTION KIDS IQ 60 ΖΕΛΕΔΑΚΙΑ</v>
      </c>
      <c r="F189" s="19">
        <v>11.65</v>
      </c>
      <c r="G189" s="5">
        <v>0.05</v>
      </c>
      <c r="H189" s="19">
        <f t="shared" si="8"/>
        <v>11.067500000000001</v>
      </c>
      <c r="I189" s="3"/>
      <c r="J189" s="226"/>
    </row>
    <row r="190" spans="1:10" ht="15" customHeight="1" x14ac:dyDescent="0.25">
      <c r="A190" s="10">
        <v>3700225602436</v>
      </c>
      <c r="B190" s="39" t="str">
        <f t="shared" si="9"/>
        <v>ΒΙΑΝ Α.Ε</v>
      </c>
      <c r="C190" s="10" t="str">
        <f>"42522"</f>
        <v>42522</v>
      </c>
      <c r="D190" s="3" t="str">
        <f>"3700225602436"</f>
        <v>3700225602436</v>
      </c>
      <c r="E190" s="3" t="str">
        <f>"ALTION KIDS POLYVITAMINS 60 ΖΕΛΕΔΑΚΙΑ"</f>
        <v>ALTION KIDS POLYVITAMINS 60 ΖΕΛΕΔΑΚΙΑ</v>
      </c>
      <c r="F190" s="19">
        <v>11.65</v>
      </c>
      <c r="G190" s="5">
        <v>0.05</v>
      </c>
      <c r="H190" s="19">
        <f t="shared" si="8"/>
        <v>11.067500000000001</v>
      </c>
      <c r="I190" s="3"/>
      <c r="J190" s="226"/>
    </row>
    <row r="191" spans="1:10" ht="15" customHeight="1" x14ac:dyDescent="0.25">
      <c r="A191" s="10">
        <v>3700225602467</v>
      </c>
      <c r="B191" s="39" t="str">
        <f t="shared" si="9"/>
        <v>ΒΙΑΝ Α.Ε</v>
      </c>
      <c r="C191" s="10" t="str">
        <f>"42526"</f>
        <v>42526</v>
      </c>
      <c r="D191" s="3" t="str">
        <f>"3700225602467"</f>
        <v>3700225602467</v>
      </c>
      <c r="E191" s="3" t="str">
        <f>"ALTION KIDS PROBIOTICS 60 ΖΕΛΕΔΑΚΙΑ"</f>
        <v>ALTION KIDS PROBIOTICS 60 ΖΕΛΕΔΑΚΙΑ</v>
      </c>
      <c r="F191" s="19">
        <v>11.65</v>
      </c>
      <c r="G191" s="5">
        <v>0.05</v>
      </c>
      <c r="H191" s="19">
        <f t="shared" si="8"/>
        <v>11.067500000000001</v>
      </c>
      <c r="I191" s="3"/>
      <c r="J191" s="226"/>
    </row>
    <row r="192" spans="1:10" ht="15" customHeight="1" x14ac:dyDescent="0.25">
      <c r="A192" s="10">
        <v>3700225602443</v>
      </c>
      <c r="B192" s="39" t="str">
        <f t="shared" si="9"/>
        <v>ΒΙΑΝ Α.Ε</v>
      </c>
      <c r="C192" s="10" t="str">
        <f>"42524"</f>
        <v>42524</v>
      </c>
      <c r="D192" s="3" t="str">
        <f>"3700225602443"</f>
        <v>3700225602443</v>
      </c>
      <c r="E192" s="3" t="str">
        <f>"ALTION KIDS VITAMIN C 60 ΖΕΛΕΔΑΚΙΑ"</f>
        <v>ALTION KIDS VITAMIN C 60 ΖΕΛΕΔΑΚΙΑ</v>
      </c>
      <c r="F192" s="19">
        <v>11.65</v>
      </c>
      <c r="G192" s="5">
        <v>0.05</v>
      </c>
      <c r="H192" s="19">
        <f t="shared" si="8"/>
        <v>11.067500000000001</v>
      </c>
      <c r="I192" s="3"/>
      <c r="J192" s="226"/>
    </row>
    <row r="193" spans="1:10" ht="15" customHeight="1" x14ac:dyDescent="0.25">
      <c r="A193" s="10">
        <v>5600767644087</v>
      </c>
      <c r="B193" s="39" t="str">
        <f t="shared" si="9"/>
        <v>ΒΙΑΝ Α.Ε</v>
      </c>
      <c r="C193" s="10" t="str">
        <f>"86745"</f>
        <v>86745</v>
      </c>
      <c r="D193" s="3" t="str">
        <f>"5600767644087"</f>
        <v>5600767644087</v>
      </c>
      <c r="E193" s="3" t="str">
        <f>"ALTION MAGNESIUM 30TABS"</f>
        <v>ALTION MAGNESIUM 30TABS</v>
      </c>
      <c r="F193" s="19">
        <v>5.32</v>
      </c>
      <c r="G193" s="5">
        <v>0.05</v>
      </c>
      <c r="H193" s="19">
        <f t="shared" si="8"/>
        <v>5.0540000000000003</v>
      </c>
      <c r="I193" s="3"/>
      <c r="J193" s="226"/>
    </row>
    <row r="194" spans="1:10" ht="15" customHeight="1" x14ac:dyDescent="0.25">
      <c r="A194" s="10">
        <v>8717825970167</v>
      </c>
      <c r="B194" s="39" t="str">
        <f t="shared" si="9"/>
        <v>ΒΙΑΝ Α.Ε</v>
      </c>
      <c r="C194" s="10" t="str">
        <f>"42519"</f>
        <v>42519</v>
      </c>
      <c r="D194" s="3" t="str">
        <f>"8717825970167"</f>
        <v>8717825970167</v>
      </c>
      <c r="E194" s="3" t="str">
        <f>"ALTION OMEGA 30 SOFTGELS"</f>
        <v>ALTION OMEGA 30 SOFTGELS</v>
      </c>
      <c r="F194" s="19">
        <v>17.86</v>
      </c>
      <c r="G194" s="5">
        <v>0.05</v>
      </c>
      <c r="H194" s="19">
        <f t="shared" si="8"/>
        <v>16.966999999999999</v>
      </c>
      <c r="I194" s="3"/>
      <c r="J194" s="226"/>
    </row>
    <row r="195" spans="1:10" ht="15" customHeight="1" x14ac:dyDescent="0.25">
      <c r="A195" s="10">
        <v>8717825970235</v>
      </c>
      <c r="B195" s="39" t="str">
        <f t="shared" si="9"/>
        <v>ΒΙΑΝ Α.Ε</v>
      </c>
      <c r="C195" s="10" t="str">
        <f>"42520"</f>
        <v>42520</v>
      </c>
      <c r="D195" s="3" t="str">
        <f>"8717825970235"</f>
        <v>8717825970235</v>
      </c>
      <c r="E195" s="3" t="str">
        <f>"ALTION OSTEO 30 SACHETS ΠΟΡΤΟΚΑΛΙ"</f>
        <v>ALTION OSTEO 30 SACHETS ΠΟΡΤΟΚΑΛΙ</v>
      </c>
      <c r="F195" s="19">
        <v>21.45</v>
      </c>
      <c r="G195" s="5">
        <v>0.05</v>
      </c>
      <c r="H195" s="19">
        <f t="shared" si="8"/>
        <v>20.377499999999998</v>
      </c>
      <c r="I195" s="3"/>
      <c r="J195" s="226"/>
    </row>
    <row r="196" spans="1:10" ht="15" customHeight="1" x14ac:dyDescent="0.25">
      <c r="A196" s="10">
        <v>1306201815146</v>
      </c>
      <c r="B196" s="39" t="str">
        <f t="shared" si="9"/>
        <v>ΒΙΑΝ Α.Ε</v>
      </c>
      <c r="C196" s="10" t="str">
        <f>"50959"</f>
        <v>50959</v>
      </c>
      <c r="D196" s="3" t="str">
        <f>"1306201815146"</f>
        <v>1306201815146</v>
      </c>
      <c r="E196" s="3" t="str">
        <f>"ALTION TONOVIT MULTIVITAMIN 40CAPS"</f>
        <v>ALTION TONOVIT MULTIVITAMIN 40CAPS</v>
      </c>
      <c r="F196" s="19">
        <v>12.5</v>
      </c>
      <c r="G196" s="5">
        <v>0.05</v>
      </c>
      <c r="H196" s="19">
        <f t="shared" si="8"/>
        <v>11.875</v>
      </c>
      <c r="I196" s="3"/>
      <c r="J196" s="226"/>
    </row>
    <row r="197" spans="1:10" ht="15" customHeight="1" x14ac:dyDescent="0.25">
      <c r="A197" s="10">
        <v>1306201815412</v>
      </c>
      <c r="B197" s="39" t="str">
        <f t="shared" si="9"/>
        <v>ΒΙΑΝ Α.Ε</v>
      </c>
      <c r="C197" s="10" t="str">
        <f>"51805"</f>
        <v>51805</v>
      </c>
      <c r="D197" s="3" t="str">
        <f>"1306201815412"</f>
        <v>1306201815412</v>
      </c>
      <c r="E197" s="3" t="str">
        <f>"ALTION TONOVIT SENIIOR 40CAPS"</f>
        <v>ALTION TONOVIT SENIIOR 40CAPS</v>
      </c>
      <c r="F197" s="19">
        <v>14</v>
      </c>
      <c r="G197" s="5">
        <v>0.05</v>
      </c>
      <c r="H197" s="19">
        <f t="shared" si="8"/>
        <v>13.3</v>
      </c>
      <c r="I197" s="3"/>
      <c r="J197" s="226"/>
    </row>
    <row r="198" spans="1:10" ht="15" customHeight="1" thickBot="1" x14ac:dyDescent="0.3">
      <c r="A198" s="10">
        <v>5203005891900</v>
      </c>
      <c r="B198" s="39" t="str">
        <f t="shared" si="9"/>
        <v>ΒΙΑΝ Α.Ε</v>
      </c>
      <c r="C198" s="15" t="str">
        <f>"51804"</f>
        <v>51804</v>
      </c>
      <c r="D198" s="16" t="str">
        <f>"5203005891900"</f>
        <v>5203005891900</v>
      </c>
      <c r="E198" s="16" t="str">
        <f>"ALTION WINTER 20 SACHETS "</f>
        <v xml:space="preserve">ALTION WINTER 20 SACHETS </v>
      </c>
      <c r="F198" s="19">
        <v>8.9</v>
      </c>
      <c r="G198" s="17">
        <v>0.05</v>
      </c>
      <c r="H198" s="32">
        <f t="shared" si="8"/>
        <v>8.4550000000000001</v>
      </c>
      <c r="I198" s="16"/>
      <c r="J198" s="226"/>
    </row>
    <row r="199" spans="1:10" ht="15" customHeight="1" x14ac:dyDescent="0.25">
      <c r="A199" s="25">
        <v>5214002507022</v>
      </c>
      <c r="B199" s="40" t="str">
        <f>"TIKUN EUROPE NEDERLANDS BV ΥΠΟΚ.ΕΛΛΑΔΟΣ"</f>
        <v>TIKUN EUROPE NEDERLANDS BV ΥΠΟΚ.ΕΛΛΑΔΟΣ</v>
      </c>
      <c r="C199" s="21" t="str">
        <f>"110165"</f>
        <v>110165</v>
      </c>
      <c r="D199" s="22" t="str">
        <f>"5214002507022"</f>
        <v>5214002507022</v>
      </c>
      <c r="E199" s="22" t="str">
        <f>"TIKUN ANY TIME 10% ΕΛΑΙΟ ΚΑΝΝΑΒΗΣ ΠΟΣΙΜΟ 10ML"</f>
        <v>TIKUN ANY TIME 10% ΕΛΑΙΟ ΚΑΝΝΑΒΗΣ ΠΟΣΙΜΟ 10ML</v>
      </c>
      <c r="F199" s="19">
        <v>34.5</v>
      </c>
      <c r="G199" s="24">
        <v>0.05</v>
      </c>
      <c r="H199" s="23">
        <f t="shared" si="8"/>
        <v>32.774999999999999</v>
      </c>
      <c r="I199" s="22"/>
      <c r="J199" s="221" t="s">
        <v>27</v>
      </c>
    </row>
    <row r="200" spans="1:10" ht="15" customHeight="1" x14ac:dyDescent="0.25">
      <c r="A200" s="25">
        <v>5214002507039</v>
      </c>
      <c r="B200" s="40" t="str">
        <f>"TIKUN EUROPE NEDERLANDS BV ΥΠΟΚ.ΕΛΛΑΔΟΣ"</f>
        <v>TIKUN EUROPE NEDERLANDS BV ΥΠΟΚ.ΕΛΛΑΔΟΣ</v>
      </c>
      <c r="C200" s="25" t="str">
        <f>"110167"</f>
        <v>110167</v>
      </c>
      <c r="D200" s="18" t="str">
        <f>"5214002507039"</f>
        <v>5214002507039</v>
      </c>
      <c r="E200" s="18" t="str">
        <f>"TIKUN ANY TIME 20% ΕΛΑΙΟ ΚΑΝΝΑΒΗΣ ΠΟΣΙΜΟ 10ML"</f>
        <v>TIKUN ANY TIME 20% ΕΛΑΙΟ ΚΑΝΝΑΒΗΣ ΠΟΣΙΜΟ 10ML</v>
      </c>
      <c r="F200" s="19">
        <v>45</v>
      </c>
      <c r="G200" s="20">
        <v>0.05</v>
      </c>
      <c r="H200" s="19">
        <f t="shared" si="8"/>
        <v>42.75</v>
      </c>
      <c r="I200" s="18"/>
      <c r="J200" s="218"/>
    </row>
    <row r="201" spans="1:10" ht="15" customHeight="1" x14ac:dyDescent="0.25">
      <c r="A201" s="25">
        <v>5214002507015</v>
      </c>
      <c r="B201" s="40" t="str">
        <f>"TIKUN EUROPE NEDERLANDS BV ΥΠΟΚ.ΕΛΛΑΔΟΣ"</f>
        <v>TIKUN EUROPE NEDERLANDS BV ΥΠΟΚ.ΕΛΛΑΔΟΣ</v>
      </c>
      <c r="C201" s="25" t="str">
        <f>"110166"</f>
        <v>110166</v>
      </c>
      <c r="D201" s="18" t="str">
        <f>"5214002507015"</f>
        <v>5214002507015</v>
      </c>
      <c r="E201" s="18" t="str">
        <f>"TIKUN ANY TIME 5% ΕΛΑΙΟ ΚΑΝΝΑΒΗΣ ΠΟΣΙΜΟ 10ML"</f>
        <v>TIKUN ANY TIME 5% ΕΛΑΙΟ ΚΑΝΝΑΒΗΣ ΠΟΣΙΜΟ 10ML</v>
      </c>
      <c r="F201" s="19">
        <v>20</v>
      </c>
      <c r="G201" s="20">
        <v>0.05</v>
      </c>
      <c r="H201" s="19">
        <f t="shared" si="8"/>
        <v>19</v>
      </c>
      <c r="I201" s="18"/>
      <c r="J201" s="218"/>
    </row>
    <row r="202" spans="1:10" ht="15" customHeight="1" x14ac:dyDescent="0.25">
      <c r="A202" s="25">
        <v>5214002507046</v>
      </c>
      <c r="B202" s="40" t="str">
        <f>"TIKUN EUROPE NEDERLANDS BV ΥΠΟΚ.ΕΛΛΑΔΟΣ"</f>
        <v>TIKUN EUROPE NEDERLANDS BV ΥΠΟΚ.ΕΛΛΑΔΟΣ</v>
      </c>
      <c r="C202" s="25" t="str">
        <f>"110168"</f>
        <v>110168</v>
      </c>
      <c r="D202" s="18" t="str">
        <f>"5214002507046"</f>
        <v>5214002507046</v>
      </c>
      <c r="E202" s="18" t="str">
        <f>"TIKUN DAY TIME 5% ΕΛΑΙΟ ΚΑΝΝΑΒΗΣ ΠΟΣΙΜΟ 10ML"</f>
        <v>TIKUN DAY TIME 5% ΕΛΑΙΟ ΚΑΝΝΑΒΗΣ ΠΟΣΙΜΟ 10ML</v>
      </c>
      <c r="F202" s="19">
        <v>37</v>
      </c>
      <c r="G202" s="20">
        <v>0.05</v>
      </c>
      <c r="H202" s="19">
        <f t="shared" si="8"/>
        <v>35.15</v>
      </c>
      <c r="I202" s="18"/>
      <c r="J202" s="218"/>
    </row>
    <row r="203" spans="1:10" ht="15" customHeight="1" thickBot="1" x14ac:dyDescent="0.3">
      <c r="A203" s="30">
        <v>5214002507053</v>
      </c>
      <c r="B203" s="133" t="str">
        <f>"TIKUN EUROPE NEDERLANDS BV ΥΠΟΚ.ΕΛΛΑΔΟΣ"</f>
        <v>TIKUN EUROPE NEDERLANDS BV ΥΠΟΚ.ΕΛΛΑΔΟΣ</v>
      </c>
      <c r="C203" s="26" t="str">
        <f>"110169"</f>
        <v>110169</v>
      </c>
      <c r="D203" s="27" t="str">
        <f>"5214002507053"</f>
        <v>5214002507053</v>
      </c>
      <c r="E203" s="27" t="str">
        <f>"TIKUN NIGHT TIME 10% ΕΛΑΙΟ ΚΑΝΝΑΒΗΣ ΠΟΣΙΜΟ 10ML"</f>
        <v>TIKUN NIGHT TIME 10% ΕΛΑΙΟ ΚΑΝΝΑΒΗΣ ΠΟΣΙΜΟ 10ML</v>
      </c>
      <c r="F203" s="19">
        <v>29</v>
      </c>
      <c r="G203" s="29">
        <v>0.05</v>
      </c>
      <c r="H203" s="28">
        <f t="shared" si="8"/>
        <v>27.55</v>
      </c>
      <c r="I203" s="27"/>
      <c r="J203" s="222"/>
    </row>
    <row r="204" spans="1:10" s="80" customFormat="1" ht="45" customHeight="1" thickBot="1" x14ac:dyDescent="0.3">
      <c r="A204" s="81">
        <v>5200403001474</v>
      </c>
      <c r="B204" s="141" t="str">
        <f>"S.J.A. PHARM LTD"</f>
        <v>S.J.A. PHARM LTD</v>
      </c>
      <c r="C204" s="163" t="str">
        <f>"85085"</f>
        <v>85085</v>
      </c>
      <c r="D204" s="164" t="str">
        <f>"5200403001474"</f>
        <v>5200403001474</v>
      </c>
      <c r="E204" s="164" t="str">
        <f>"VITAMINAIR CALM &amp; SLEEP SPRAY MELATONIN 10ML"</f>
        <v>VITAMINAIR CALM &amp; SLEEP SPRAY MELATONIN 10ML</v>
      </c>
      <c r="F204" s="19">
        <v>10.6</v>
      </c>
      <c r="G204" s="165">
        <v>0.15</v>
      </c>
      <c r="H204" s="42">
        <f t="shared" si="8"/>
        <v>9.01</v>
      </c>
      <c r="I204" s="164"/>
      <c r="J204" s="166" t="s">
        <v>133</v>
      </c>
    </row>
    <row r="205" spans="1:10" ht="15" customHeight="1" x14ac:dyDescent="0.25">
      <c r="A205" s="57">
        <v>5200321010121</v>
      </c>
      <c r="B205" s="71" t="str">
        <f>"POWER HEALTH HELLAS"</f>
        <v>POWER HEALTH HELLAS</v>
      </c>
      <c r="C205" s="57" t="str">
        <f>"052533"</f>
        <v>052533</v>
      </c>
      <c r="D205" s="41" t="str">
        <f>"5200321010121"</f>
        <v>5200321010121</v>
      </c>
      <c r="E205" s="41" t="str">
        <f>"POWER HEALTH ECHINACEA EXTRA EFF.24TABS+ VITAMIN C 500MG ΔΩΡΟ"</f>
        <v>POWER HEALTH ECHINACEA EXTRA EFF.24TABS+ VITAMIN C 500MG ΔΩΡΟ</v>
      </c>
      <c r="F205" s="19">
        <v>8.9</v>
      </c>
      <c r="G205" s="43">
        <v>0.08</v>
      </c>
      <c r="H205" s="19">
        <f t="shared" si="8"/>
        <v>8.1880000000000006</v>
      </c>
      <c r="I205" s="41"/>
      <c r="J205" s="218" t="s">
        <v>31</v>
      </c>
    </row>
    <row r="206" spans="1:10" ht="15" customHeight="1" x14ac:dyDescent="0.25">
      <c r="A206" s="25">
        <v>5200321010138</v>
      </c>
      <c r="B206" s="40" t="str">
        <f>"POWER HEALTH HELLAS"</f>
        <v>POWER HEALTH HELLAS</v>
      </c>
      <c r="C206" s="25" t="str">
        <f>"03457"</f>
        <v>03457</v>
      </c>
      <c r="D206" s="18" t="str">
        <f>"5200321010138"</f>
        <v>5200321010138</v>
      </c>
      <c r="E206" s="18" t="str">
        <f>"POWER HEALTH MULTI MULTI EFF.24TABS+VITAMIN C 500MG ΔΩΡΟ"</f>
        <v>POWER HEALTH MULTI MULTI EFF.24TABS+VITAMIN C 500MG ΔΩΡΟ</v>
      </c>
      <c r="F206" s="19">
        <v>8.9</v>
      </c>
      <c r="G206" s="20">
        <v>0.08</v>
      </c>
      <c r="H206" s="19">
        <f t="shared" si="8"/>
        <v>8.1880000000000006</v>
      </c>
      <c r="I206" s="18"/>
      <c r="J206" s="218"/>
    </row>
    <row r="207" spans="1:10" ht="15" customHeight="1" thickBot="1" x14ac:dyDescent="0.3">
      <c r="A207" s="25">
        <v>5200321010145</v>
      </c>
      <c r="B207" s="40" t="str">
        <f>"POWER HEALTH HELLAS"</f>
        <v>POWER HEALTH HELLAS</v>
      </c>
      <c r="C207" s="30" t="str">
        <f>"22421"</f>
        <v>22421</v>
      </c>
      <c r="D207" s="31" t="str">
        <f>"5200321010145"</f>
        <v>5200321010145</v>
      </c>
      <c r="E207" s="31" t="str">
        <f>"POWER HEALTH VITAMIN C 1000MG EFF.24TABS+VITAMIN 500MG ΔΩΡΟ"</f>
        <v>POWER HEALTH VITAMIN C 1000MG EFF.24TABS+VITAMIN 500MG ΔΩΡΟ</v>
      </c>
      <c r="F207" s="19">
        <v>8.9</v>
      </c>
      <c r="G207" s="33">
        <v>0.08</v>
      </c>
      <c r="H207" s="32">
        <f t="shared" si="8"/>
        <v>8.1880000000000006</v>
      </c>
      <c r="I207" s="31"/>
      <c r="J207" s="218"/>
    </row>
    <row r="208" spans="1:10" ht="15" customHeight="1" x14ac:dyDescent="0.25">
      <c r="A208" s="10">
        <v>3664798030839</v>
      </c>
      <c r="B208" s="39" t="str">
        <f>"OPELLA HEALTHCARE GREECE M.ΕΠΕ"</f>
        <v>OPELLA HEALTHCARE GREECE M.ΕΠΕ</v>
      </c>
      <c r="C208" s="6" t="str">
        <f>"01505"</f>
        <v>01505</v>
      </c>
      <c r="D208" s="7" t="str">
        <f>"3664798030839"</f>
        <v>3664798030839</v>
      </c>
      <c r="E208" s="7" t="str">
        <f>"PHARMATON GERIATRIC 30TABS"</f>
        <v>PHARMATON GERIATRIC 30TABS</v>
      </c>
      <c r="F208" s="19">
        <v>8.98</v>
      </c>
      <c r="G208" s="9">
        <v>0.08</v>
      </c>
      <c r="H208" s="23">
        <f t="shared" si="8"/>
        <v>8.2615999999999996</v>
      </c>
      <c r="I208" s="7"/>
      <c r="J208" s="219" t="s">
        <v>49</v>
      </c>
    </row>
    <row r="209" spans="1:10" ht="15" customHeight="1" x14ac:dyDescent="0.25">
      <c r="A209" s="10">
        <v>3664798025408</v>
      </c>
      <c r="B209" s="39" t="str">
        <f>"OPELLA HEALTHCARE GREECE M.ΕΠΕ"</f>
        <v>OPELLA HEALTHCARE GREECE M.ΕΠΕ</v>
      </c>
      <c r="C209" s="10" t="str">
        <f>"053867"</f>
        <v>053867</v>
      </c>
      <c r="D209" s="3" t="str">
        <f>"3664798025408"</f>
        <v>3664798025408</v>
      </c>
      <c r="E209" s="3" t="str">
        <f>"PHARMATON GERIATRIC CARDIO CAPS 30x250MG"</f>
        <v>PHARMATON GERIATRIC CARDIO CAPS 30x250MG</v>
      </c>
      <c r="F209" s="19">
        <v>8.98</v>
      </c>
      <c r="G209" s="5">
        <v>0.08</v>
      </c>
      <c r="H209" s="19">
        <f t="shared" si="8"/>
        <v>8.2615999999999996</v>
      </c>
      <c r="I209" s="3"/>
      <c r="J209" s="224"/>
    </row>
    <row r="210" spans="1:10" ht="15" customHeight="1" x14ac:dyDescent="0.25">
      <c r="A210" s="10">
        <v>3664798001143</v>
      </c>
      <c r="B210" s="39" t="str">
        <f>"OPELLA HEALTHCARE GREECE M.ΕΠΕ"</f>
        <v>OPELLA HEALTHCARE GREECE M.ΕΠΕ</v>
      </c>
      <c r="C210" s="10" t="str">
        <f>"49819"</f>
        <v>49819</v>
      </c>
      <c r="D210" s="3" t="str">
        <f>"3664798001143"</f>
        <v>3664798001143</v>
      </c>
      <c r="E210" s="3" t="str">
        <f>"PHARMATON GERIATRIC EFF. TABL. x20"</f>
        <v>PHARMATON GERIATRIC EFF. TABL. x20</v>
      </c>
      <c r="F210" s="19">
        <v>8.98</v>
      </c>
      <c r="G210" s="5">
        <v>0.08</v>
      </c>
      <c r="H210" s="19">
        <f t="shared" si="8"/>
        <v>8.2615999999999996</v>
      </c>
      <c r="I210" s="3"/>
      <c r="J210" s="224"/>
    </row>
    <row r="211" spans="1:10" ht="15" customHeight="1" x14ac:dyDescent="0.25">
      <c r="A211" s="10">
        <v>3664798046236</v>
      </c>
      <c r="B211" s="39" t="str">
        <f>"OPELLA HEALTHCARE GREECE M.ΕΠΕ"</f>
        <v>OPELLA HEALTHCARE GREECE M.ΕΠΕ</v>
      </c>
      <c r="C211" s="10" t="str">
        <f>"89525"</f>
        <v>89525</v>
      </c>
      <c r="D211" s="3" t="str">
        <f>"3664798046236"</f>
        <v>3664798046236</v>
      </c>
      <c r="E211" s="3" t="str">
        <f>"PHARMATON GERIATRIC IMMUNITY 30TABS"</f>
        <v>PHARMATON GERIATRIC IMMUNITY 30TABS</v>
      </c>
      <c r="F211" s="19">
        <v>8.98</v>
      </c>
      <c r="G211" s="5">
        <v>0.08</v>
      </c>
      <c r="H211" s="19">
        <f t="shared" si="8"/>
        <v>8.2615999999999996</v>
      </c>
      <c r="I211" s="3"/>
      <c r="J211" s="234"/>
    </row>
    <row r="212" spans="1:10" ht="15" customHeight="1" thickBot="1" x14ac:dyDescent="0.3">
      <c r="A212" s="30">
        <v>8033661806966</v>
      </c>
      <c r="B212" s="133" t="str">
        <f>"MEDCON ΚΟΡΩΝΗΣ  ΙΩΑΝΝΗΣ"</f>
        <v>MEDCON ΚΟΡΩΝΗΣ  ΙΩΑΝΝΗΣ</v>
      </c>
      <c r="C212" s="26" t="str">
        <f>"11199"</f>
        <v>11199</v>
      </c>
      <c r="D212" s="27" t="str">
        <f>"8033661806966"</f>
        <v>8033661806966</v>
      </c>
      <c r="E212" s="27" t="str">
        <f>"LUTEIN OMEGA 3 30CAPS"</f>
        <v>LUTEIN OMEGA 3 30CAPS</v>
      </c>
      <c r="F212" s="19">
        <v>9.3000000000000007</v>
      </c>
      <c r="G212" s="29">
        <v>0.05</v>
      </c>
      <c r="H212" s="28">
        <f t="shared" si="8"/>
        <v>8.8350000000000009</v>
      </c>
      <c r="I212" s="27"/>
      <c r="J212" s="35" t="s">
        <v>53</v>
      </c>
    </row>
    <row r="213" spans="1:10" ht="15" customHeight="1" x14ac:dyDescent="0.25">
      <c r="A213" s="21">
        <v>5204253711118</v>
      </c>
      <c r="B213" s="131" t="str">
        <f>"MEDICAL PHARMAQUALITY A.E."</f>
        <v>MEDICAL PHARMAQUALITY A.E.</v>
      </c>
      <c r="C213" s="57" t="str">
        <f>"42537"</f>
        <v>42537</v>
      </c>
      <c r="D213" s="41" t="str">
        <f>"5204253711118"</f>
        <v>5204253711118</v>
      </c>
      <c r="E213" s="41" t="str">
        <f>"NEVRALIP 600 RETARD TABL. x20"</f>
        <v>NEVRALIP 600 RETARD TABL. x20</v>
      </c>
      <c r="F213" s="19">
        <v>16.45</v>
      </c>
      <c r="G213" s="43">
        <v>0.03</v>
      </c>
      <c r="H213" s="42">
        <f t="shared" si="8"/>
        <v>15.9565</v>
      </c>
      <c r="I213" s="41"/>
      <c r="J213" s="218" t="s">
        <v>42</v>
      </c>
    </row>
    <row r="214" spans="1:10" ht="15" customHeight="1" x14ac:dyDescent="0.25">
      <c r="A214" s="25">
        <v>5200120390073</v>
      </c>
      <c r="B214" s="40" t="str">
        <f>"MEDICAL PHARMAQUALITY A.E."</f>
        <v>MEDICAL PHARMAQUALITY A.E.</v>
      </c>
      <c r="C214" s="25" t="str">
        <f>"54669"</f>
        <v>54669</v>
      </c>
      <c r="D214" s="18" t="str">
        <f>"5200120390073"</f>
        <v>5200120390073</v>
      </c>
      <c r="E214" s="18" t="str">
        <f>"NEVRALIP 600 RETARD TABL. x30"</f>
        <v>NEVRALIP 600 RETARD TABL. x30</v>
      </c>
      <c r="F214" s="19">
        <v>23.2</v>
      </c>
      <c r="G214" s="20">
        <v>0.03</v>
      </c>
      <c r="H214" s="19">
        <f t="shared" si="8"/>
        <v>22.503999999999998</v>
      </c>
      <c r="I214" s="18"/>
      <c r="J214" s="218"/>
    </row>
    <row r="215" spans="1:10" ht="15" customHeight="1" thickBot="1" x14ac:dyDescent="0.3">
      <c r="A215" s="26">
        <v>5200120390004</v>
      </c>
      <c r="B215" s="132" t="str">
        <f>"MEDICAL PHARMAQUALITY A.E."</f>
        <v>MEDICAL PHARMAQUALITY A.E.</v>
      </c>
      <c r="C215" s="30" t="str">
        <f>"25059"</f>
        <v>25059</v>
      </c>
      <c r="D215" s="31" t="str">
        <f>"5200120390004"</f>
        <v>5200120390004</v>
      </c>
      <c r="E215" s="31" t="str">
        <f>"SYALOX 300 PLUS TABL. x20"</f>
        <v>SYALOX 300 PLUS TABL. x20</v>
      </c>
      <c r="F215" s="19">
        <v>28.3</v>
      </c>
      <c r="G215" s="33">
        <v>0.03</v>
      </c>
      <c r="H215" s="32">
        <f t="shared" si="8"/>
        <v>27.451000000000001</v>
      </c>
      <c r="I215" s="31"/>
      <c r="J215" s="218"/>
    </row>
    <row r="216" spans="1:10" ht="15" customHeight="1" x14ac:dyDescent="0.25">
      <c r="A216" s="25">
        <v>5420024611894</v>
      </c>
      <c r="B216" s="40" t="str">
        <f>"LERIVA PHARMA A.E."</f>
        <v>LERIVA PHARMA A.E.</v>
      </c>
      <c r="C216" s="21" t="str">
        <f>"72993"</f>
        <v>72993</v>
      </c>
      <c r="D216" s="22" t="str">
        <f>"5420024611894"</f>
        <v>5420024611894</v>
      </c>
      <c r="E216" s="22" t="str">
        <f>"FLEXOFYTOL 60CAPS"</f>
        <v>FLEXOFYTOL 60CAPS</v>
      </c>
      <c r="F216" s="19">
        <v>22.54</v>
      </c>
      <c r="G216" s="24">
        <v>0.3</v>
      </c>
      <c r="H216" s="23">
        <f t="shared" si="8"/>
        <v>15.777999999999999</v>
      </c>
      <c r="I216" s="22"/>
      <c r="J216" s="167" t="s">
        <v>18</v>
      </c>
    </row>
    <row r="217" spans="1:10" ht="15" customHeight="1" x14ac:dyDescent="0.25">
      <c r="A217" s="25">
        <v>5207270000074</v>
      </c>
      <c r="B217" s="40" t="str">
        <f>"LERIVA PHARMA A.E."</f>
        <v>LERIVA PHARMA A.E.</v>
      </c>
      <c r="C217" s="25" t="str">
        <f>"34602"</f>
        <v>34602</v>
      </c>
      <c r="D217" s="18" t="str">
        <f>"5207270000074"</f>
        <v>5207270000074</v>
      </c>
      <c r="E217" s="18" t="str">
        <f>"IMMUVIT C+D3+Zn CAPS x30"</f>
        <v>IMMUVIT C+D3+Zn CAPS x30</v>
      </c>
      <c r="F217" s="19">
        <v>5.81</v>
      </c>
      <c r="G217" s="20">
        <v>0.1</v>
      </c>
      <c r="H217" s="19">
        <f t="shared" si="8"/>
        <v>5.2289999999999992</v>
      </c>
      <c r="I217" s="18"/>
      <c r="J217" s="34" t="s">
        <v>9</v>
      </c>
    </row>
    <row r="218" spans="1:10" ht="15" customHeight="1" thickBot="1" x14ac:dyDescent="0.3">
      <c r="A218" s="30">
        <v>5420024613782</v>
      </c>
      <c r="B218" s="133" t="str">
        <f>"LERIVA PHARMA A.E."</f>
        <v>LERIVA PHARMA A.E.</v>
      </c>
      <c r="C218" s="26" t="str">
        <f>"72994"</f>
        <v>72994</v>
      </c>
      <c r="D218" s="27" t="str">
        <f>"5420024613782"</f>
        <v>5420024613782</v>
      </c>
      <c r="E218" s="27" t="str">
        <f>"TILMAN ANTIMETIL 36TABS LERIVA"</f>
        <v>TILMAN ANTIMETIL 36TABS LERIVA</v>
      </c>
      <c r="F218" s="19">
        <v>5.14</v>
      </c>
      <c r="G218" s="29">
        <v>0.1</v>
      </c>
      <c r="H218" s="28">
        <f t="shared" si="8"/>
        <v>4.6259999999999994</v>
      </c>
      <c r="I218" s="27"/>
      <c r="J218" s="35" t="s">
        <v>9</v>
      </c>
    </row>
    <row r="219" spans="1:10" ht="15" customHeight="1" x14ac:dyDescent="0.25">
      <c r="A219" s="6">
        <v>5214001007059</v>
      </c>
      <c r="B219" s="129" t="str">
        <f t="shared" ref="B219:B225" si="10">"LIBYTEC ΦΑΡΜΑΚΕΥΤΙΚΗ A.E."</f>
        <v>LIBYTEC ΦΑΡΜΑΚΕΥΤΙΚΗ A.E.</v>
      </c>
      <c r="C219" s="55" t="str">
        <f>"25860"</f>
        <v>25860</v>
      </c>
      <c r="D219" s="47" t="str">
        <f>"5214001007059"</f>
        <v>5214001007059</v>
      </c>
      <c r="E219" s="47" t="str">
        <f>"COMBINERV F.C.TABL. x20"</f>
        <v>COMBINERV F.C.TABL. x20</v>
      </c>
      <c r="F219" s="19">
        <v>11.9</v>
      </c>
      <c r="G219" s="48">
        <v>0.05</v>
      </c>
      <c r="H219" s="42">
        <f t="shared" si="8"/>
        <v>11.305</v>
      </c>
      <c r="I219" s="47"/>
      <c r="J219" s="224" t="s">
        <v>30</v>
      </c>
    </row>
    <row r="220" spans="1:10" ht="15" customHeight="1" x14ac:dyDescent="0.25">
      <c r="A220" s="10">
        <v>5214001007042</v>
      </c>
      <c r="B220" s="39" t="str">
        <f t="shared" si="10"/>
        <v>LIBYTEC ΦΑΡΜΑΚΕΥΤΙΚΗ A.E.</v>
      </c>
      <c r="C220" s="10" t="str">
        <f>"68466"</f>
        <v>68466</v>
      </c>
      <c r="D220" s="3" t="str">
        <f>"5214001007042"</f>
        <v>5214001007042</v>
      </c>
      <c r="E220" s="3" t="str">
        <f>"PRODIATEC HARD CAPS x30 (LACTOSE FREE &amp; GLUTEN FREE)"</f>
        <v>PRODIATEC HARD CAPS x30 (LACTOSE FREE &amp; GLUTEN FREE)</v>
      </c>
      <c r="F220" s="19">
        <v>13.1</v>
      </c>
      <c r="G220" s="5">
        <v>0.05</v>
      </c>
      <c r="H220" s="19">
        <f t="shared" si="8"/>
        <v>12.445</v>
      </c>
      <c r="I220" s="3"/>
      <c r="J220" s="224"/>
    </row>
    <row r="221" spans="1:10" ht="15" customHeight="1" thickBot="1" x14ac:dyDescent="0.3">
      <c r="A221" s="15">
        <v>5214001007073</v>
      </c>
      <c r="B221" s="99" t="str">
        <f t="shared" si="10"/>
        <v>LIBYTEC ΦΑΡΜΑΚΕΥΤΙΚΗ A.E.</v>
      </c>
      <c r="C221" s="15" t="str">
        <f>"72849"</f>
        <v>72849</v>
      </c>
      <c r="D221" s="16" t="str">
        <f>"5214001007073"</f>
        <v>5214001007073</v>
      </c>
      <c r="E221" s="16" t="str">
        <f>"Q10STAT 60CAPS"</f>
        <v>Q10STAT 60CAPS</v>
      </c>
      <c r="F221" s="32">
        <v>19.5</v>
      </c>
      <c r="G221" s="17">
        <v>0.05</v>
      </c>
      <c r="H221" s="32">
        <f t="shared" si="8"/>
        <v>18.524999999999999</v>
      </c>
      <c r="I221" s="16"/>
      <c r="J221" s="224"/>
    </row>
    <row r="222" spans="1:10" s="2" customFormat="1" ht="15" customHeight="1" x14ac:dyDescent="0.25">
      <c r="A222" s="6">
        <v>5214001007066</v>
      </c>
      <c r="B222" s="7" t="s">
        <v>226</v>
      </c>
      <c r="C222" s="7" t="s">
        <v>227</v>
      </c>
      <c r="D222" s="7" t="s">
        <v>228</v>
      </c>
      <c r="E222" s="7" t="s">
        <v>229</v>
      </c>
      <c r="F222" s="8">
        <v>5.8</v>
      </c>
      <c r="G222" s="9">
        <v>0.15</v>
      </c>
      <c r="H222" s="4">
        <f>F222-F222*G222</f>
        <v>4.93</v>
      </c>
      <c r="I222" s="7"/>
      <c r="J222" s="216" t="s">
        <v>37</v>
      </c>
    </row>
    <row r="223" spans="1:10" s="2" customFormat="1" ht="15" customHeight="1" x14ac:dyDescent="0.25">
      <c r="A223" s="10">
        <v>5214001007011</v>
      </c>
      <c r="B223" s="3" t="str">
        <f t="shared" si="10"/>
        <v>LIBYTEC ΦΑΡΜΑΚΕΥΤΙΚΗ A.E.</v>
      </c>
      <c r="C223" s="3" t="str">
        <f>"34160"</f>
        <v>34160</v>
      </c>
      <c r="D223" s="3" t="str">
        <f>"5214001007011"</f>
        <v>5214001007011</v>
      </c>
      <c r="E223" s="3" t="str">
        <f>"SELIMA TABL. x30"</f>
        <v>SELIMA TABL. x30</v>
      </c>
      <c r="F223" s="4">
        <v>7</v>
      </c>
      <c r="G223" s="5">
        <v>0.15</v>
      </c>
      <c r="H223" s="4">
        <f>F223-F223*G223</f>
        <v>5.95</v>
      </c>
      <c r="I223" s="3"/>
      <c r="J223" s="240"/>
    </row>
    <row r="224" spans="1:10" s="2" customFormat="1" ht="15" customHeight="1" x14ac:dyDescent="0.25">
      <c r="A224" s="10">
        <v>5214001007004</v>
      </c>
      <c r="B224" s="3" t="str">
        <f t="shared" si="10"/>
        <v>LIBYTEC ΦΑΡΜΑΚΕΥΤΙΚΗ A.E.</v>
      </c>
      <c r="C224" s="3" t="str">
        <f>"34161"</f>
        <v>34161</v>
      </c>
      <c r="D224" s="3" t="str">
        <f>"5214001007004"</f>
        <v>5214001007004</v>
      </c>
      <c r="E224" s="3" t="str">
        <f>"SELITOP TABL. x40"</f>
        <v>SELITOP TABL. x40</v>
      </c>
      <c r="F224" s="4">
        <v>8.8000000000000007</v>
      </c>
      <c r="G224" s="5">
        <v>0.15</v>
      </c>
      <c r="H224" s="4">
        <f t="shared" si="8"/>
        <v>7.48</v>
      </c>
      <c r="I224" s="3"/>
      <c r="J224" s="240"/>
    </row>
    <row r="225" spans="1:10" s="2" customFormat="1" ht="15" customHeight="1" thickBot="1" x14ac:dyDescent="0.3">
      <c r="A225" s="11">
        <v>5214001007028</v>
      </c>
      <c r="B225" s="12" t="str">
        <f t="shared" si="10"/>
        <v>LIBYTEC ΦΑΡΜΑΚΕΥΤΙΚΗ A.E.</v>
      </c>
      <c r="C225" s="12" t="str">
        <f>"41119"</f>
        <v>41119</v>
      </c>
      <c r="D225" s="12" t="str">
        <f>"5214001007028"</f>
        <v>5214001007028</v>
      </c>
      <c r="E225" s="12" t="str">
        <f>"SYNOSTEO X 30 SACHETS CALCIUM+D3 +K2"</f>
        <v>SYNOSTEO X 30 SACHETS CALCIUM+D3 +K2</v>
      </c>
      <c r="F225" s="13">
        <v>12.5</v>
      </c>
      <c r="G225" s="14">
        <v>0.15</v>
      </c>
      <c r="H225" s="13">
        <f t="shared" si="8"/>
        <v>10.625</v>
      </c>
      <c r="I225" s="12"/>
      <c r="J225" s="217"/>
    </row>
    <row r="226" spans="1:10" s="80" customFormat="1" ht="30" customHeight="1" thickBot="1" x14ac:dyDescent="0.3">
      <c r="A226" s="109">
        <v>5200133250005</v>
      </c>
      <c r="B226" s="142" t="str">
        <f>"LIFE NLB ΠΡΟΙΟΝΤΑ ΥΓΕΙΑΣ Μ.Ε.Π.Ε."</f>
        <v>LIFE NLB ΠΡΟΙΟΝΤΑ ΥΓΕΙΑΣ Μ.Ε.Π.Ε.</v>
      </c>
      <c r="C226" s="163" t="str">
        <f>"30000"</f>
        <v>30000</v>
      </c>
      <c r="D226" s="164" t="str">
        <f>"5200133250005"</f>
        <v>5200133250005</v>
      </c>
      <c r="E226" s="164" t="str">
        <f>"ENZYSAMINE CAPS x60"</f>
        <v>ENZYSAMINE CAPS x60</v>
      </c>
      <c r="F226" s="42">
        <v>17.5</v>
      </c>
      <c r="G226" s="165">
        <v>0.03</v>
      </c>
      <c r="H226" s="198">
        <f t="shared" ref="H226:H289" si="11">F226-F226*G226</f>
        <v>16.975000000000001</v>
      </c>
      <c r="I226" s="164"/>
      <c r="J226" s="166" t="s">
        <v>19</v>
      </c>
    </row>
    <row r="227" spans="1:10" ht="15" customHeight="1" thickBot="1" x14ac:dyDescent="0.3">
      <c r="A227" s="30">
        <v>5212001102224</v>
      </c>
      <c r="B227" s="133" t="str">
        <f>"RAFARM AEBE"</f>
        <v>RAFARM AEBE</v>
      </c>
      <c r="C227" s="72" t="str">
        <f>"57846"</f>
        <v>57846</v>
      </c>
      <c r="D227" s="73" t="str">
        <f>"5212001102224"</f>
        <v>5212001102224</v>
      </c>
      <c r="E227" s="73" t="str">
        <f>"RETINORM CAPS 60x600MG"</f>
        <v>RETINORM CAPS 60x600MG</v>
      </c>
      <c r="F227" s="19">
        <v>14</v>
      </c>
      <c r="G227" s="75">
        <v>0.08</v>
      </c>
      <c r="H227" s="74">
        <f t="shared" si="11"/>
        <v>12.879999999999999</v>
      </c>
      <c r="I227" s="73"/>
      <c r="J227" s="108" t="s">
        <v>31</v>
      </c>
    </row>
    <row r="228" spans="1:10" ht="15" customHeight="1" x14ac:dyDescent="0.25">
      <c r="A228" s="6">
        <v>8032472004608</v>
      </c>
      <c r="B228" s="129" t="str">
        <f t="shared" ref="B228:B234" si="12">"KABONATURA Κ.ΚΑΝΤΟΥΝΑΣ &amp;ΣΙΑ ΟΕ"</f>
        <v>KABONATURA Κ.ΚΑΝΤΟΥΝΑΣ &amp;ΣΙΑ ΟΕ</v>
      </c>
      <c r="C228" s="6" t="str">
        <f>"52039"</f>
        <v>52039</v>
      </c>
      <c r="D228" s="7" t="str">
        <f>"8032472004608"</f>
        <v>8032472004608</v>
      </c>
      <c r="E228" s="7" t="str">
        <f>"ABOCA ARNICA BIOPOMATE 50ML"</f>
        <v>ABOCA ARNICA BIOPOMATE 50ML</v>
      </c>
      <c r="F228" s="19">
        <v>8.06</v>
      </c>
      <c r="G228" s="9">
        <v>0.05</v>
      </c>
      <c r="H228" s="23">
        <f t="shared" si="11"/>
        <v>7.657</v>
      </c>
      <c r="I228" s="7"/>
      <c r="J228" s="219" t="s">
        <v>16</v>
      </c>
    </row>
    <row r="229" spans="1:10" ht="15" customHeight="1" x14ac:dyDescent="0.25">
      <c r="A229" s="10">
        <v>8032472008392</v>
      </c>
      <c r="B229" s="39" t="str">
        <f t="shared" si="12"/>
        <v>KABONATURA Κ.ΚΑΝΤΟΥΝΑΣ &amp;ΣΙΑ ΟΕ</v>
      </c>
      <c r="C229" s="10" t="str">
        <f>"37561"</f>
        <v>37561</v>
      </c>
      <c r="D229" s="3" t="str">
        <f>"8032472008392"</f>
        <v>8032472008392</v>
      </c>
      <c r="E229" s="3" t="str">
        <f>"ABOCA NEO FITOROID ΑΙΜΟΡΡΟΙΔΕΣ 40ML"</f>
        <v>ABOCA NEO FITOROID ΑΙΜΟΡΡΟΙΔΕΣ 40ML</v>
      </c>
      <c r="F229" s="19">
        <v>9.77</v>
      </c>
      <c r="G229" s="5">
        <v>0.05</v>
      </c>
      <c r="H229" s="19">
        <f t="shared" si="11"/>
        <v>9.2814999999999994</v>
      </c>
      <c r="I229" s="3"/>
      <c r="J229" s="224"/>
    </row>
    <row r="230" spans="1:10" ht="15" customHeight="1" x14ac:dyDescent="0.25">
      <c r="A230" s="10">
        <v>8032472013211</v>
      </c>
      <c r="B230" s="39" t="str">
        <f t="shared" si="12"/>
        <v>KABONATURA Κ.ΚΑΝΤΟΥΝΑΣ &amp;ΣΙΑ ΟΕ</v>
      </c>
      <c r="C230" s="10" t="str">
        <f>"44601"</f>
        <v>44601</v>
      </c>
      <c r="D230" s="3" t="str">
        <f>"8032472013211"</f>
        <v>8032472013211</v>
      </c>
      <c r="E230" s="3" t="str">
        <f>"ABOCA NEOBIANACID 14CAPS"</f>
        <v>ABOCA NEOBIANACID 14CAPS</v>
      </c>
      <c r="F230" s="19">
        <v>5.77</v>
      </c>
      <c r="G230" s="5">
        <v>0.05</v>
      </c>
      <c r="H230" s="19">
        <f t="shared" si="11"/>
        <v>5.4814999999999996</v>
      </c>
      <c r="I230" s="3"/>
      <c r="J230" s="224"/>
    </row>
    <row r="231" spans="1:10" ht="15" customHeight="1" x14ac:dyDescent="0.25">
      <c r="A231" s="10">
        <v>8032472006879</v>
      </c>
      <c r="B231" s="39" t="str">
        <f t="shared" si="12"/>
        <v>KABONATURA Κ.ΚΑΝΤΟΥΝΑΣ &amp;ΣΙΑ ΟΕ</v>
      </c>
      <c r="C231" s="10" t="str">
        <f>"45600"</f>
        <v>45600</v>
      </c>
      <c r="D231" s="3" t="str">
        <f>"8032472006879"</f>
        <v>8032472006879</v>
      </c>
      <c r="E231" s="3" t="str">
        <f>"ABOCA NEOBIANACID 45CAPS"</f>
        <v>ABOCA NEOBIANACID 45CAPS</v>
      </c>
      <c r="F231" s="19">
        <v>11.08</v>
      </c>
      <c r="G231" s="5">
        <v>0.05</v>
      </c>
      <c r="H231" s="19">
        <f t="shared" si="11"/>
        <v>10.526</v>
      </c>
      <c r="I231" s="3"/>
      <c r="J231" s="224"/>
    </row>
    <row r="232" spans="1:10" ht="15" customHeight="1" x14ac:dyDescent="0.25">
      <c r="A232" s="10">
        <v>5205322411113</v>
      </c>
      <c r="B232" s="39" t="str">
        <f t="shared" si="12"/>
        <v>KABONATURA Κ.ΚΑΝΤΟΥΝΑΣ &amp;ΣΙΑ ΟΕ</v>
      </c>
      <c r="C232" s="10" t="str">
        <f>"53224"</f>
        <v>53224</v>
      </c>
      <c r="D232" s="3" t="str">
        <f>"5205322411113"</f>
        <v>5205322411113</v>
      </c>
      <c r="E232" s="3" t="str">
        <f>"ABOCA PROPOL2 SPRAY 30ML"</f>
        <v>ABOCA PROPOL2 SPRAY 30ML</v>
      </c>
      <c r="F232" s="19">
        <v>9.44</v>
      </c>
      <c r="G232" s="5">
        <v>0.05</v>
      </c>
      <c r="H232" s="19">
        <f t="shared" si="11"/>
        <v>8.968</v>
      </c>
      <c r="I232" s="3"/>
      <c r="J232" s="224"/>
    </row>
    <row r="233" spans="1:10" ht="15" customHeight="1" x14ac:dyDescent="0.25">
      <c r="A233" s="10">
        <v>8032472020530</v>
      </c>
      <c r="B233" s="39" t="str">
        <f t="shared" si="12"/>
        <v>KABONATURA Κ.ΚΑΝΤΟΥΝΑΣ &amp;ΣΙΑ ΟΕ</v>
      </c>
      <c r="C233" s="10" t="str">
        <f>"107345"</f>
        <v>107345</v>
      </c>
      <c r="D233" s="3" t="str">
        <f>"8032472020530"</f>
        <v>8032472020530</v>
      </c>
      <c r="E233" s="3" t="str">
        <f>"ABOCA SOLIEVO PHYSIOLAX 27TABS"</f>
        <v>ABOCA SOLIEVO PHYSIOLAX 27TABS</v>
      </c>
      <c r="F233" s="19">
        <v>6.03</v>
      </c>
      <c r="G233" s="5">
        <v>0.05</v>
      </c>
      <c r="H233" s="19">
        <f t="shared" si="11"/>
        <v>5.7285000000000004</v>
      </c>
      <c r="I233" s="3"/>
      <c r="J233" s="224"/>
    </row>
    <row r="234" spans="1:10" ht="15" customHeight="1" thickBot="1" x14ac:dyDescent="0.3">
      <c r="A234" s="11">
        <v>8032472020547</v>
      </c>
      <c r="B234" s="130" t="str">
        <f t="shared" si="12"/>
        <v>KABONATURA Κ.ΚΑΝΤΟΥΝΑΣ &amp;ΣΙΑ ΟΕ</v>
      </c>
      <c r="C234" s="11" t="str">
        <f>"103305"</f>
        <v>103305</v>
      </c>
      <c r="D234" s="12" t="str">
        <f>"8032472020547"</f>
        <v>8032472020547</v>
      </c>
      <c r="E234" s="12" t="str">
        <f>"ABOCA SOLIEVO PHYSIOLAX 45TABS"</f>
        <v>ABOCA SOLIEVO PHYSIOLAX 45TABS</v>
      </c>
      <c r="F234" s="19">
        <v>8.1999999999999993</v>
      </c>
      <c r="G234" s="14">
        <v>0.05</v>
      </c>
      <c r="H234" s="28">
        <f t="shared" si="11"/>
        <v>7.7899999999999991</v>
      </c>
      <c r="I234" s="12"/>
      <c r="J234" s="220"/>
    </row>
    <row r="235" spans="1:10" ht="15" customHeight="1" thickBot="1" x14ac:dyDescent="0.3">
      <c r="A235" s="25">
        <v>5205396094434</v>
      </c>
      <c r="B235" s="40" t="str">
        <f>"GLAXOSMITHKLINE ΚΑΤΑΝΑΛΩΤΙΚΑ ΠΡΟΪΟΝΤΑ ΥΓΕΙΑΣ ΕΛΛΑΣ Α.Ε."</f>
        <v>GLAXOSMITHKLINE ΚΑΤΑΝΑΛΩΤΙΚΑ ΠΡΟΪΟΝΤΑ ΥΓΕΙΑΣ ΕΛΛΑΣ Α.Ε.</v>
      </c>
      <c r="C235" s="72" t="str">
        <f>"0909"</f>
        <v>0909</v>
      </c>
      <c r="D235" s="73" t="str">
        <f>"5205396094434"</f>
        <v>5205396094434</v>
      </c>
      <c r="E235" s="73" t="str">
        <f>"CALTRATE 600+D 60TABS"</f>
        <v>CALTRATE 600+D 60TABS</v>
      </c>
      <c r="F235" s="19">
        <v>7.84</v>
      </c>
      <c r="G235" s="75">
        <v>0.05</v>
      </c>
      <c r="H235" s="74">
        <f t="shared" si="11"/>
        <v>7.4479999999999995</v>
      </c>
      <c r="I235" s="73"/>
      <c r="J235" s="108" t="s">
        <v>53</v>
      </c>
    </row>
    <row r="236" spans="1:10" ht="15" customHeight="1" x14ac:dyDescent="0.25">
      <c r="A236" s="6">
        <v>5200409100010</v>
      </c>
      <c r="B236" s="129" t="str">
        <f>"EXELANE HELLAS IKE"</f>
        <v>EXELANE HELLAS IKE</v>
      </c>
      <c r="C236" s="6" t="str">
        <f>"21101"</f>
        <v>21101</v>
      </c>
      <c r="D236" s="7" t="str">
        <f>"5200409100010"</f>
        <v>5200409100010</v>
      </c>
      <c r="E236" s="7" t="str">
        <f>"RECOLIN CAPS x30 (ΕΝΙΣΧΥΣΗ ΜΝΗΜΗΣ)"</f>
        <v>RECOLIN CAPS x30 (ΕΝΙΣΧΥΣΗ ΜΝΗΜΗΣ)</v>
      </c>
      <c r="F236" s="19">
        <v>14.8</v>
      </c>
      <c r="G236" s="9">
        <v>0.05</v>
      </c>
      <c r="H236" s="19">
        <f t="shared" si="11"/>
        <v>14.06</v>
      </c>
      <c r="I236" s="7"/>
      <c r="J236" s="225" t="s">
        <v>26</v>
      </c>
    </row>
    <row r="237" spans="1:10" ht="15" customHeight="1" thickBot="1" x14ac:dyDescent="0.3">
      <c r="A237" s="11">
        <v>5200409100096</v>
      </c>
      <c r="B237" s="130" t="str">
        <f>"EXELANE HELLAS IKE"</f>
        <v>EXELANE HELLAS IKE</v>
      </c>
      <c r="C237" s="11" t="str">
        <f>"43720"</f>
        <v>43720</v>
      </c>
      <c r="D237" s="12" t="str">
        <f>"5200409100096"</f>
        <v>5200409100096</v>
      </c>
      <c r="E237" s="12" t="str">
        <f>"REVERT TABL. x30 (ΕΝΙΣΧΥΣΗ ΔΙΑΘΕΣΗΣ &amp; ΕΥΕΞΙΑΣ)"</f>
        <v>REVERT TABL. x30 (ΕΝΙΣΧΥΣΗ ΔΙΑΘΕΣΗΣ &amp; ΕΥΕΞΙΑΣ)</v>
      </c>
      <c r="F237" s="19">
        <v>14.8</v>
      </c>
      <c r="G237" s="14">
        <v>0.05</v>
      </c>
      <c r="H237" s="28">
        <f t="shared" si="11"/>
        <v>14.06</v>
      </c>
      <c r="I237" s="12"/>
      <c r="J237" s="227"/>
    </row>
    <row r="238" spans="1:10" ht="15" customHeight="1" x14ac:dyDescent="0.25">
      <c r="A238" s="21">
        <v>5200415600436</v>
      </c>
      <c r="B238" s="131" t="str">
        <f t="shared" ref="B238:B249" si="13">"ELPEN A.E."</f>
        <v>ELPEN A.E.</v>
      </c>
      <c r="C238" s="57" t="str">
        <f>"57145"</f>
        <v>57145</v>
      </c>
      <c r="D238" s="41" t="str">
        <f>"5200415600436"</f>
        <v>5200415600436</v>
      </c>
      <c r="E238" s="41" t="str">
        <f>"ALMORA PLUS BABY DROPS 8ML"</f>
        <v>ALMORA PLUS BABY DROPS 8ML</v>
      </c>
      <c r="F238" s="19">
        <v>11.35</v>
      </c>
      <c r="G238" s="43">
        <v>0.05</v>
      </c>
      <c r="H238" s="42">
        <f t="shared" si="11"/>
        <v>10.782499999999999</v>
      </c>
      <c r="I238" s="41"/>
      <c r="J238" s="218" t="s">
        <v>30</v>
      </c>
    </row>
    <row r="239" spans="1:10" ht="15" customHeight="1" x14ac:dyDescent="0.25">
      <c r="A239" s="25">
        <v>5200415600139</v>
      </c>
      <c r="B239" s="40" t="str">
        <f t="shared" si="13"/>
        <v>ELPEN A.E.</v>
      </c>
      <c r="C239" s="25" t="str">
        <f>"45965"</f>
        <v>45965</v>
      </c>
      <c r="D239" s="18" t="str">
        <f>"5200415600139"</f>
        <v>5200415600139</v>
      </c>
      <c r="E239" s="18" t="str">
        <f>"ALMORA PLUS EFF.TABL. x15"</f>
        <v>ALMORA PLUS EFF.TABL. x15</v>
      </c>
      <c r="F239" s="19">
        <v>4.3600000000000003</v>
      </c>
      <c r="G239" s="20">
        <v>0.05</v>
      </c>
      <c r="H239" s="19">
        <f t="shared" si="11"/>
        <v>4.1420000000000003</v>
      </c>
      <c r="I239" s="18"/>
      <c r="J239" s="218"/>
    </row>
    <row r="240" spans="1:10" ht="15" customHeight="1" thickBot="1" x14ac:dyDescent="0.3">
      <c r="A240" s="26">
        <v>5200415600146</v>
      </c>
      <c r="B240" s="132" t="str">
        <f t="shared" si="13"/>
        <v>ELPEN A.E.</v>
      </c>
      <c r="C240" s="30" t="str">
        <f>"47463"</f>
        <v>47463</v>
      </c>
      <c r="D240" s="31" t="str">
        <f>"5200415600146"</f>
        <v>5200415600146</v>
      </c>
      <c r="E240" s="31" t="str">
        <f>"ALMORA PLUS SPORT EFF 20TABS ΗΛΕΚΤΡΟΛΥΤΕΣ"</f>
        <v>ALMORA PLUS SPORT EFF 20TABS ΗΛΕΚΤΡΟΛΥΤΕΣ</v>
      </c>
      <c r="F240" s="19">
        <v>8</v>
      </c>
      <c r="G240" s="33">
        <v>0.05</v>
      </c>
      <c r="H240" s="32">
        <f t="shared" si="11"/>
        <v>7.6</v>
      </c>
      <c r="I240" s="31"/>
      <c r="J240" s="218"/>
    </row>
    <row r="241" spans="1:10" ht="15" customHeight="1" x14ac:dyDescent="0.25">
      <c r="A241" s="6">
        <v>5200415600603</v>
      </c>
      <c r="B241" s="129" t="str">
        <f t="shared" si="13"/>
        <v>ELPEN A.E.</v>
      </c>
      <c r="C241" s="6" t="str">
        <f>"73625"</f>
        <v>73625</v>
      </c>
      <c r="D241" s="7" t="str">
        <f>"5200415600603"</f>
        <v>5200415600603</v>
      </c>
      <c r="E241" s="7" t="str">
        <f>"ALMORA PLUS IMMUNE CISTUS COMPLEX 15CAPS"</f>
        <v>ALMORA PLUS IMMUNE CISTUS COMPLEX 15CAPS</v>
      </c>
      <c r="F241" s="19">
        <v>6.51</v>
      </c>
      <c r="G241" s="9">
        <v>0.05</v>
      </c>
      <c r="H241" s="23">
        <f t="shared" si="11"/>
        <v>6.1844999999999999</v>
      </c>
      <c r="I241" s="7"/>
      <c r="J241" s="219" t="s">
        <v>30</v>
      </c>
    </row>
    <row r="242" spans="1:10" ht="15" customHeight="1" x14ac:dyDescent="0.25">
      <c r="A242" s="10">
        <v>5200415600740</v>
      </c>
      <c r="B242" s="39" t="str">
        <f t="shared" si="13"/>
        <v>ELPEN A.E.</v>
      </c>
      <c r="C242" s="10" t="str">
        <f>"97385"</f>
        <v>97385</v>
      </c>
      <c r="D242" s="3" t="str">
        <f>"5200415600740"</f>
        <v>5200415600740</v>
      </c>
      <c r="E242" s="3" t="str">
        <f>"ALMORA PLUS IMMUNE CISTUS PROTECT BTX15CAPS"</f>
        <v>ALMORA PLUS IMMUNE CISTUS PROTECT BTX15CAPS</v>
      </c>
      <c r="F242" s="19">
        <v>7.11</v>
      </c>
      <c r="G242" s="5">
        <v>0.05</v>
      </c>
      <c r="H242" s="19">
        <f t="shared" si="11"/>
        <v>6.7545000000000002</v>
      </c>
      <c r="I242" s="3"/>
      <c r="J242" s="224"/>
    </row>
    <row r="243" spans="1:10" ht="15" customHeight="1" thickBot="1" x14ac:dyDescent="0.3">
      <c r="A243" s="11">
        <v>5200415600757</v>
      </c>
      <c r="B243" s="130" t="str">
        <f t="shared" si="13"/>
        <v>ELPEN A.E.</v>
      </c>
      <c r="C243" s="11" t="str">
        <f>"97386"</f>
        <v>97386</v>
      </c>
      <c r="D243" s="12" t="str">
        <f>"5200415600757"</f>
        <v>5200415600757</v>
      </c>
      <c r="E243" s="12" t="str">
        <f>"ALMORA PLUS IMMUNE CISTUS THROAT SPRAY 30ML"</f>
        <v>ALMORA PLUS IMMUNE CISTUS THROAT SPRAY 30ML</v>
      </c>
      <c r="F243" s="19">
        <v>7.11</v>
      </c>
      <c r="G243" s="14">
        <v>0.05</v>
      </c>
      <c r="H243" s="28">
        <f t="shared" si="11"/>
        <v>6.7545000000000002</v>
      </c>
      <c r="I243" s="12"/>
      <c r="J243" s="220"/>
    </row>
    <row r="244" spans="1:10" ht="15" customHeight="1" x14ac:dyDescent="0.25">
      <c r="A244" s="21">
        <v>5200415600665</v>
      </c>
      <c r="B244" s="131" t="str">
        <f t="shared" si="13"/>
        <v>ELPEN A.E.</v>
      </c>
      <c r="C244" s="57" t="str">
        <f>"99066"</f>
        <v>99066</v>
      </c>
      <c r="D244" s="41" t="str">
        <f>"5200415600665"</f>
        <v>5200415600665</v>
      </c>
      <c r="E244" s="41" t="str">
        <f>"ALMORA PLUS KIDS COUGH SYRUP 120ML"</f>
        <v>ALMORA PLUS KIDS COUGH SYRUP 120ML</v>
      </c>
      <c r="F244" s="19">
        <v>7.71</v>
      </c>
      <c r="G244" s="43">
        <v>0.05</v>
      </c>
      <c r="H244" s="42">
        <f t="shared" si="11"/>
        <v>7.3244999999999996</v>
      </c>
      <c r="I244" s="41"/>
      <c r="J244" s="218" t="s">
        <v>30</v>
      </c>
    </row>
    <row r="245" spans="1:10" ht="15" customHeight="1" x14ac:dyDescent="0.25">
      <c r="A245" s="25">
        <v>5200415600566</v>
      </c>
      <c r="B245" s="40" t="str">
        <f t="shared" si="13"/>
        <v>ELPEN A.E.</v>
      </c>
      <c r="C245" s="25" t="str">
        <f>"72989"</f>
        <v>72989</v>
      </c>
      <c r="D245" s="18" t="str">
        <f>"5200415600566"</f>
        <v>5200415600566</v>
      </c>
      <c r="E245" s="18" t="str">
        <f>"ALMORA PLUS NORMOBOWELL 30TABS (ΣΥΝΔΡ. ΕΥΕΡΕΘΙΣΤΟΥ ΕΝΤΕΡΟΥ)"</f>
        <v>ALMORA PLUS NORMOBOWELL 30TABS (ΣΥΝΔΡ. ΕΥΕΡΕΘΙΣΤΟΥ ΕΝΤΕΡΟΥ)</v>
      </c>
      <c r="F245" s="19">
        <v>8.9</v>
      </c>
      <c r="G245" s="20">
        <v>0.05</v>
      </c>
      <c r="H245" s="19">
        <f t="shared" si="11"/>
        <v>8.4550000000000001</v>
      </c>
      <c r="I245" s="18"/>
      <c r="J245" s="218"/>
    </row>
    <row r="246" spans="1:10" ht="15" customHeight="1" x14ac:dyDescent="0.25">
      <c r="A246" s="25">
        <v>5200415600443</v>
      </c>
      <c r="B246" s="40" t="str">
        <f t="shared" si="13"/>
        <v>ELPEN A.E.</v>
      </c>
      <c r="C246" s="25" t="str">
        <f>"67826"</f>
        <v>67826</v>
      </c>
      <c r="D246" s="18" t="str">
        <f>"5200415600443"</f>
        <v>5200415600443</v>
      </c>
      <c r="E246" s="18" t="str">
        <f>"ALMORA PLUS PROBIO 10SACHETS"</f>
        <v>ALMORA PLUS PROBIO 10SACHETS</v>
      </c>
      <c r="F246" s="19">
        <v>6.5</v>
      </c>
      <c r="G246" s="20">
        <v>0.05</v>
      </c>
      <c r="H246" s="19">
        <f t="shared" si="11"/>
        <v>6.1749999999999998</v>
      </c>
      <c r="I246" s="18"/>
      <c r="J246" s="218"/>
    </row>
    <row r="247" spans="1:10" ht="15" customHeight="1" x14ac:dyDescent="0.25">
      <c r="A247" s="25">
        <v>5200415600726</v>
      </c>
      <c r="B247" s="40" t="str">
        <f t="shared" si="13"/>
        <v>ELPEN A.E.</v>
      </c>
      <c r="C247" s="25" t="str">
        <f>"103125"</f>
        <v>103125</v>
      </c>
      <c r="D247" s="18" t="str">
        <f>"5200415600726"</f>
        <v>5200415600726</v>
      </c>
      <c r="E247" s="18" t="str">
        <f>"ALMORA PLUS REFLUX NO BURN 30TABS"</f>
        <v>ALMORA PLUS REFLUX NO BURN 30TABS</v>
      </c>
      <c r="F247" s="19">
        <v>4.12</v>
      </c>
      <c r="G247" s="20">
        <v>0.05</v>
      </c>
      <c r="H247" s="19">
        <f t="shared" si="11"/>
        <v>3.9140000000000001</v>
      </c>
      <c r="I247" s="18"/>
      <c r="J247" s="218"/>
    </row>
    <row r="248" spans="1:10" ht="15" customHeight="1" thickBot="1" x14ac:dyDescent="0.3">
      <c r="A248" s="26">
        <v>5200415600719</v>
      </c>
      <c r="B248" s="132" t="str">
        <f t="shared" si="13"/>
        <v>ELPEN A.E.</v>
      </c>
      <c r="C248" s="30" t="str">
        <f>"103126"</f>
        <v>103126</v>
      </c>
      <c r="D248" s="31" t="str">
        <f>"5200415600719"</f>
        <v>5200415600719</v>
      </c>
      <c r="E248" s="31" t="str">
        <f>"ALMORA PLUS REFLUX REPAIR 20 SACHETSx10ML"</f>
        <v>ALMORA PLUS REFLUX REPAIR 20 SACHETSx10ML</v>
      </c>
      <c r="F248" s="19">
        <v>6.51</v>
      </c>
      <c r="G248" s="33">
        <v>0.05</v>
      </c>
      <c r="H248" s="32">
        <f t="shared" si="11"/>
        <v>6.1844999999999999</v>
      </c>
      <c r="I248" s="31"/>
      <c r="J248" s="218"/>
    </row>
    <row r="249" spans="1:10" s="2" customFormat="1" ht="15" customHeight="1" thickBot="1" x14ac:dyDescent="0.3">
      <c r="A249" s="59">
        <v>5200415600078</v>
      </c>
      <c r="B249" s="134" t="str">
        <f t="shared" si="13"/>
        <v>ELPEN A.E.</v>
      </c>
      <c r="C249" s="51" t="str">
        <f>"052365"</f>
        <v>052365</v>
      </c>
      <c r="D249" s="52" t="str">
        <f>"5200415600078"</f>
        <v>5200415600078</v>
      </c>
      <c r="E249" s="52" t="str">
        <f>"ALMORA PLUS SACHETS x12"</f>
        <v>ALMORA PLUS SACHETS x12</v>
      </c>
      <c r="F249" s="19">
        <v>4.12</v>
      </c>
      <c r="G249" s="53">
        <v>0.05</v>
      </c>
      <c r="H249" s="63">
        <f t="shared" si="11"/>
        <v>3.9140000000000001</v>
      </c>
      <c r="I249" s="52"/>
      <c r="J249" s="54" t="s">
        <v>51</v>
      </c>
    </row>
    <row r="250" spans="1:10" ht="15" customHeight="1" x14ac:dyDescent="0.25">
      <c r="A250" s="21">
        <v>7070866021658</v>
      </c>
      <c r="B250" s="131" t="str">
        <f t="shared" ref="B250:B259" si="14">"APOLLONIAN NUTRITION A.E."</f>
        <v>APOLLONIAN NUTRITION A.E.</v>
      </c>
      <c r="C250" s="57" t="str">
        <f>"22780"</f>
        <v>22780</v>
      </c>
      <c r="D250" s="41" t="str">
        <f>"7070866021658"</f>
        <v>7070866021658</v>
      </c>
      <c r="E250" s="41" t="str">
        <f>"MOLLER'S FORTE 150 CAPS"</f>
        <v>MOLLER'S FORTE 150 CAPS</v>
      </c>
      <c r="F250" s="19">
        <v>20.46</v>
      </c>
      <c r="G250" s="43">
        <v>0.12</v>
      </c>
      <c r="H250" s="42">
        <f t="shared" si="11"/>
        <v>18.004799999999999</v>
      </c>
      <c r="I250" s="41"/>
      <c r="J250" s="223" t="s">
        <v>134</v>
      </c>
    </row>
    <row r="251" spans="1:10" ht="15" customHeight="1" x14ac:dyDescent="0.25">
      <c r="A251" s="25">
        <v>7070866008659</v>
      </c>
      <c r="B251" s="40" t="str">
        <f t="shared" si="14"/>
        <v>APOLLONIAN NUTRITION A.E.</v>
      </c>
      <c r="C251" s="25" t="str">
        <f>"16663"</f>
        <v>16663</v>
      </c>
      <c r="D251" s="18" t="str">
        <f>"7070866008659"</f>
        <v>7070866008659</v>
      </c>
      <c r="E251" s="18" t="str">
        <f>"MOLLER'S FORTE 60 CAPS"</f>
        <v>MOLLER'S FORTE 60 CAPS</v>
      </c>
      <c r="F251" s="19">
        <v>9.84</v>
      </c>
      <c r="G251" s="20">
        <v>0.12</v>
      </c>
      <c r="H251" s="19">
        <f t="shared" si="11"/>
        <v>8.6592000000000002</v>
      </c>
      <c r="I251" s="18"/>
      <c r="J251" s="223"/>
    </row>
    <row r="252" spans="1:10" ht="15" customHeight="1" x14ac:dyDescent="0.25">
      <c r="A252" s="25">
        <v>7070866026264</v>
      </c>
      <c r="B252" s="40" t="str">
        <f t="shared" si="14"/>
        <v>APOLLONIAN NUTRITION A.E.</v>
      </c>
      <c r="C252" s="25" t="str">
        <f>"25605"</f>
        <v>25605</v>
      </c>
      <c r="D252" s="18" t="str">
        <f>"7070866026264"</f>
        <v>7070866026264</v>
      </c>
      <c r="E252" s="18" t="str">
        <f>"MOLLER'S OMEGA-3 ΖΕΛΕΔΑΚΙΑ ΛΕΜΟΝΙ ΠΟΡΤΟΚΑΛΙ 36ΤΜΧ"</f>
        <v>MOLLER'S OMEGA-3 ΖΕΛΕΔΑΚΙΑ ΛΕΜΟΝΙ ΠΟΡΤΟΚΑΛΙ 36ΤΜΧ</v>
      </c>
      <c r="F252" s="19">
        <v>11.23</v>
      </c>
      <c r="G252" s="20">
        <v>0.12</v>
      </c>
      <c r="H252" s="19">
        <f t="shared" si="11"/>
        <v>9.8824000000000005</v>
      </c>
      <c r="I252" s="18"/>
      <c r="J252" s="223"/>
    </row>
    <row r="253" spans="1:10" ht="15" customHeight="1" x14ac:dyDescent="0.25">
      <c r="A253" s="25">
        <v>7070866027674</v>
      </c>
      <c r="B253" s="40" t="str">
        <f t="shared" si="14"/>
        <v>APOLLONIAN NUTRITION A.E.</v>
      </c>
      <c r="C253" s="25" t="str">
        <f>"49799"</f>
        <v>49799</v>
      </c>
      <c r="D253" s="18" t="str">
        <f>"7070866027674"</f>
        <v>7070866027674</v>
      </c>
      <c r="E253" s="18" t="str">
        <f>"MOLLER'S OMEGA-3 ΖΕΛΕΔΑΚΙΑ ΦΡΑΟΥΛΑ 36ΤΜΧ"</f>
        <v>MOLLER'S OMEGA-3 ΖΕΛΕΔΑΚΙΑ ΦΡΑΟΥΛΑ 36ΤΜΧ</v>
      </c>
      <c r="F253" s="19">
        <v>11.23</v>
      </c>
      <c r="G253" s="20">
        <v>0.12</v>
      </c>
      <c r="H253" s="19">
        <f t="shared" si="11"/>
        <v>9.8824000000000005</v>
      </c>
      <c r="I253" s="18"/>
      <c r="J253" s="223"/>
    </row>
    <row r="254" spans="1:10" ht="15" customHeight="1" x14ac:dyDescent="0.25">
      <c r="A254" s="25">
        <v>7070866027445</v>
      </c>
      <c r="B254" s="40" t="str">
        <f t="shared" si="14"/>
        <v>APOLLONIAN NUTRITION A.E.</v>
      </c>
      <c r="C254" s="25" t="str">
        <f>"51927"</f>
        <v>51927</v>
      </c>
      <c r="D254" s="18" t="str">
        <f>"7070866027445"</f>
        <v>7070866027445</v>
      </c>
      <c r="E254" s="18" t="str">
        <f>"MOLLER'S TOTAL 28CAPS +28 TABS"</f>
        <v>MOLLER'S TOTAL 28CAPS +28 TABS</v>
      </c>
      <c r="F254" s="19">
        <v>13.13</v>
      </c>
      <c r="G254" s="20">
        <v>0.12</v>
      </c>
      <c r="H254" s="19">
        <f t="shared" si="11"/>
        <v>11.554400000000001</v>
      </c>
      <c r="I254" s="18"/>
      <c r="J254" s="223"/>
    </row>
    <row r="255" spans="1:10" ht="15" customHeight="1" x14ac:dyDescent="0.25">
      <c r="A255" s="25">
        <v>5702071389262</v>
      </c>
      <c r="B255" s="40" t="str">
        <f t="shared" si="14"/>
        <v>APOLLONIAN NUTRITION A.E.</v>
      </c>
      <c r="C255" s="25" t="str">
        <f>"76626"</f>
        <v>76626</v>
      </c>
      <c r="D255" s="18" t="str">
        <f>"5702071389262"</f>
        <v>5702071389262</v>
      </c>
      <c r="E255" s="18" t="str">
        <f>"MOLLER'S TOTAL PLUS 28CAPS +28 TABS"</f>
        <v>MOLLER'S TOTAL PLUS 28CAPS +28 TABS</v>
      </c>
      <c r="F255" s="19">
        <v>13.43</v>
      </c>
      <c r="G255" s="20">
        <v>0.12</v>
      </c>
      <c r="H255" s="19">
        <f t="shared" si="11"/>
        <v>11.8184</v>
      </c>
      <c r="I255" s="18"/>
      <c r="J255" s="223"/>
    </row>
    <row r="256" spans="1:10" ht="15" customHeight="1" x14ac:dyDescent="0.25">
      <c r="A256" s="25">
        <v>7070866020477</v>
      </c>
      <c r="B256" s="40" t="str">
        <f t="shared" si="14"/>
        <v>APOLLONIAN NUTRITION A.E.</v>
      </c>
      <c r="C256" s="25" t="str">
        <f>"14759"</f>
        <v>14759</v>
      </c>
      <c r="D256" s="18" t="str">
        <f>"7070866020477"</f>
        <v>7070866020477</v>
      </c>
      <c r="E256" s="18" t="str">
        <f>"MOLLER'S ΜΟΥΡΟΥΝΕΛΑΙΟ TUTTI FRUTTI 250ML"</f>
        <v>MOLLER'S ΜΟΥΡΟΥΝΕΛΑΙΟ TUTTI FRUTTI 250ML</v>
      </c>
      <c r="F256" s="19">
        <v>13.19</v>
      </c>
      <c r="G256" s="20">
        <v>0.12</v>
      </c>
      <c r="H256" s="19">
        <f t="shared" si="11"/>
        <v>11.607199999999999</v>
      </c>
      <c r="I256" s="18"/>
      <c r="J256" s="223"/>
    </row>
    <row r="257" spans="1:10" ht="15" customHeight="1" x14ac:dyDescent="0.25">
      <c r="A257" s="25">
        <v>7028156630219</v>
      </c>
      <c r="B257" s="40" t="str">
        <f t="shared" si="14"/>
        <v>APOLLONIAN NUTRITION A.E.</v>
      </c>
      <c r="C257" s="25" t="str">
        <f>"15287"</f>
        <v>15287</v>
      </c>
      <c r="D257" s="18" t="str">
        <f>"7028156630219"</f>
        <v>7028156630219</v>
      </c>
      <c r="E257" s="18" t="str">
        <f>"MOLLER'S ΜΟΥΡΟΥΝΕΛΑΙΟ ΛΕΜΟΝΙ 250ML"</f>
        <v>MOLLER'S ΜΟΥΡΟΥΝΕΛΑΙΟ ΛΕΜΟΝΙ 250ML</v>
      </c>
      <c r="F257" s="19">
        <v>13.19</v>
      </c>
      <c r="G257" s="20">
        <v>0.12</v>
      </c>
      <c r="H257" s="19">
        <f t="shared" si="11"/>
        <v>11.607199999999999</v>
      </c>
      <c r="I257" s="18"/>
      <c r="J257" s="223"/>
    </row>
    <row r="258" spans="1:10" ht="15" customHeight="1" x14ac:dyDescent="0.25">
      <c r="A258" s="25">
        <v>7070866030759</v>
      </c>
      <c r="B258" s="40" t="str">
        <f t="shared" si="14"/>
        <v>APOLLONIAN NUTRITION A.E.</v>
      </c>
      <c r="C258" s="25" t="str">
        <f>"76625"</f>
        <v>76625</v>
      </c>
      <c r="D258" s="18" t="str">
        <f>"7070866030759"</f>
        <v>7070866030759</v>
      </c>
      <c r="E258" s="18" t="str">
        <f>"MOLLER'S ΜΟΥΡΟΥΝΕΛΑΙΟ ΜΗΛΟ 250ML"</f>
        <v>MOLLER'S ΜΟΥΡΟΥΝΕΛΑΙΟ ΜΗΛΟ 250ML</v>
      </c>
      <c r="F258" s="19">
        <v>13.19</v>
      </c>
      <c r="G258" s="20">
        <v>0.12</v>
      </c>
      <c r="H258" s="19">
        <f t="shared" si="11"/>
        <v>11.607199999999999</v>
      </c>
      <c r="I258" s="18"/>
      <c r="J258" s="223"/>
    </row>
    <row r="259" spans="1:10" ht="15" customHeight="1" thickBot="1" x14ac:dyDescent="0.3">
      <c r="A259" s="26">
        <v>7070866021122</v>
      </c>
      <c r="B259" s="132" t="str">
        <f t="shared" si="14"/>
        <v>APOLLONIAN NUTRITION A.E.</v>
      </c>
      <c r="C259" s="30" t="str">
        <f>"15919"</f>
        <v>15919</v>
      </c>
      <c r="D259" s="31" t="str">
        <f>"7070866021122"</f>
        <v>7070866021122</v>
      </c>
      <c r="E259" s="31" t="str">
        <f>"MOLLER'S ΜΟΥΡΟΥΝΕΛΑΙΟ ΦΥΣΙΚΗ ΓΕΥΣΗ 250ML"</f>
        <v>MOLLER'S ΜΟΥΡΟΥΝΕΛΑΙΟ ΦΥΣΙΚΗ ΓΕΥΣΗ 250ML</v>
      </c>
      <c r="F259" s="19">
        <v>13.19</v>
      </c>
      <c r="G259" s="33">
        <v>0.12</v>
      </c>
      <c r="H259" s="32">
        <f t="shared" si="11"/>
        <v>11.607199999999999</v>
      </c>
      <c r="I259" s="31"/>
      <c r="J259" s="223"/>
    </row>
    <row r="260" spans="1:10" ht="15" customHeight="1" x14ac:dyDescent="0.25">
      <c r="A260" s="6">
        <v>5206899000335</v>
      </c>
      <c r="B260" s="129" t="str">
        <f>"GM FOOD &amp;BEVERAGES M.IKE"</f>
        <v>GM FOOD &amp;BEVERAGES M.IKE</v>
      </c>
      <c r="C260" s="6" t="str">
        <f>"050841"</f>
        <v>050841</v>
      </c>
      <c r="D260" s="7" t="str">
        <f>"5206899000335"</f>
        <v>5206899000335</v>
      </c>
      <c r="E260" s="7" t="str">
        <f>"ΒΑΣΙΛΙΚΟΣ ΠΟΛΤΟΣ APIPHARM 10GR ΜΕΓΑΣ 1+1 ΔΩΡΟ"</f>
        <v>ΒΑΣΙΛΙΚΟΣ ΠΟΛΤΟΣ APIPHARM 10GR ΜΕΓΑΣ 1+1 ΔΩΡΟ</v>
      </c>
      <c r="F260" s="19">
        <v>9</v>
      </c>
      <c r="G260" s="9">
        <v>0.08</v>
      </c>
      <c r="H260" s="23">
        <f t="shared" si="11"/>
        <v>8.2799999999999994</v>
      </c>
      <c r="I260" s="7"/>
      <c r="J260" s="219" t="s">
        <v>9</v>
      </c>
    </row>
    <row r="261" spans="1:10" ht="15" customHeight="1" thickBot="1" x14ac:dyDescent="0.3">
      <c r="A261" s="11">
        <v>5206899000342</v>
      </c>
      <c r="B261" s="130" t="str">
        <f>"GM FOOD &amp;BEVERAGES M.IKE"</f>
        <v>GM FOOD &amp;BEVERAGES M.IKE</v>
      </c>
      <c r="C261" s="11" t="str">
        <f>"05065"</f>
        <v>05065</v>
      </c>
      <c r="D261" s="12" t="str">
        <f>"5206899000342"</f>
        <v>5206899000342</v>
      </c>
      <c r="E261" s="12" t="str">
        <f>"ΒΑΣΙΛΙΚΟΣ ΠΟΛΤΟΣ APIPHARM 20GR ΜΕΓΑΣ (1+1 ΔΩΡΟ)"</f>
        <v>ΒΑΣΙΛΙΚΟΣ ΠΟΛΤΟΣ APIPHARM 20GR ΜΕΓΑΣ (1+1 ΔΩΡΟ)</v>
      </c>
      <c r="F261" s="19">
        <v>16</v>
      </c>
      <c r="G261" s="14">
        <v>0.08</v>
      </c>
      <c r="H261" s="28">
        <f t="shared" si="11"/>
        <v>14.72</v>
      </c>
      <c r="I261" s="12"/>
      <c r="J261" s="220"/>
    </row>
    <row r="262" spans="1:10" x14ac:dyDescent="0.25">
      <c r="A262" s="21">
        <v>5201895801115</v>
      </c>
      <c r="B262" s="131" t="str">
        <f t="shared" ref="B262:B274" si="15">"ADELCO-ΧΡΩΜΑΤΟΥΡΓΕΙΑ ΑΘΗΝΩΝ Α.Ε."</f>
        <v>ADELCO-ΧΡΩΜΑΤΟΥΡΓΕΙΑ ΑΘΗΝΩΝ Α.Ε.</v>
      </c>
      <c r="C262" s="57" t="str">
        <f>"110666"</f>
        <v>110666</v>
      </c>
      <c r="D262" s="41" t="str">
        <f>"5201895801115"</f>
        <v>5201895801115</v>
      </c>
      <c r="E262" s="41" t="str">
        <f>"ADELCO BABY SENSITIVE CARE ALOE VERA-CHAMOMILE GEL 150ML 0+m"</f>
        <v>ADELCO BABY SENSITIVE CARE ALOE VERA-CHAMOMILE GEL 150ML 0+m</v>
      </c>
      <c r="F262" s="19">
        <v>7.47</v>
      </c>
      <c r="G262" s="43">
        <v>0.15</v>
      </c>
      <c r="H262" s="42">
        <f t="shared" si="11"/>
        <v>6.3494999999999999</v>
      </c>
      <c r="I262" s="41"/>
      <c r="J262" s="58"/>
    </row>
    <row r="263" spans="1:10" x14ac:dyDescent="0.25">
      <c r="A263" s="25">
        <v>5201895801030</v>
      </c>
      <c r="B263" s="40" t="str">
        <f t="shared" si="15"/>
        <v>ADELCO-ΧΡΩΜΑΤΟΥΡΓΕΙΑ ΑΘΗΝΩΝ Α.Ε.</v>
      </c>
      <c r="C263" s="25" t="str">
        <f>"110665"</f>
        <v>110665</v>
      </c>
      <c r="D263" s="18" t="str">
        <f>"5201895801030"</f>
        <v>5201895801030</v>
      </c>
      <c r="E263" s="18" t="str">
        <f>"ADELCO BABY SENSITIVE CARE RELAXING MASSAGE OIL 110ML 0+m"</f>
        <v>ADELCO BABY SENSITIVE CARE RELAXING MASSAGE OIL 110ML 0+m</v>
      </c>
      <c r="F263" s="19">
        <v>7.17</v>
      </c>
      <c r="G263" s="20">
        <v>0.15</v>
      </c>
      <c r="H263" s="19">
        <f t="shared" si="11"/>
        <v>6.0945</v>
      </c>
      <c r="I263" s="18"/>
      <c r="J263" s="34"/>
    </row>
    <row r="264" spans="1:10" x14ac:dyDescent="0.25">
      <c r="A264" s="25">
        <v>5201895801054</v>
      </c>
      <c r="B264" s="40" t="str">
        <f t="shared" si="15"/>
        <v>ADELCO-ΧΡΩΜΑΤΟΥΡΓΕΙΑ ΑΘΗΝΩΝ Α.Ε.</v>
      </c>
      <c r="C264" s="25" t="str">
        <f>"110626"</f>
        <v>110626</v>
      </c>
      <c r="D264" s="18" t="str">
        <f>"5201895801054"</f>
        <v>5201895801054</v>
      </c>
      <c r="E264" s="18" t="str">
        <f>"ADELCO BABY SENSITIVE CARE ΕΝΥΔΑΤΙΚΗ ΠΡΟΣΩΠΟΥ ΣΩΜΑΤΟΣ 110ML 0+m"</f>
        <v>ADELCO BABY SENSITIVE CARE ΕΝΥΔΑΤΙΚΗ ΠΡΟΣΩΠΟΥ ΣΩΜΑΤΟΣ 110ML 0+m</v>
      </c>
      <c r="F264" s="19">
        <v>7.47</v>
      </c>
      <c r="G264" s="20">
        <v>0.15</v>
      </c>
      <c r="H264" s="19">
        <f t="shared" si="11"/>
        <v>6.3494999999999999</v>
      </c>
      <c r="I264" s="18"/>
      <c r="J264" s="34"/>
    </row>
    <row r="265" spans="1:10" x14ac:dyDescent="0.25">
      <c r="A265" s="25">
        <v>5201895801139</v>
      </c>
      <c r="B265" s="40" t="str">
        <f t="shared" si="15"/>
        <v>ADELCO-ΧΡΩΜΑΤΟΥΡΓΕΙΑ ΑΘΗΝΩΝ Α.Ε.</v>
      </c>
      <c r="C265" s="25" t="str">
        <f>"110645"</f>
        <v>110645</v>
      </c>
      <c r="D265" s="18" t="str">
        <f>"5201895801139"</f>
        <v>5201895801139</v>
      </c>
      <c r="E265" s="18" t="str">
        <f>"ADELCO BABY SENSITIVE CARE ΚΡΕΜΑ ΣΥΓΚΑΜΑΤΟΣ 150ML 0+m"</f>
        <v>ADELCO BABY SENSITIVE CARE ΚΡΕΜΑ ΣΥΓΚΑΜΑΤΟΣ 150ML 0+m</v>
      </c>
      <c r="F265" s="19">
        <v>7.47</v>
      </c>
      <c r="G265" s="20">
        <v>0.15</v>
      </c>
      <c r="H265" s="19">
        <f t="shared" si="11"/>
        <v>6.3494999999999999</v>
      </c>
      <c r="I265" s="18"/>
      <c r="J265" s="34"/>
    </row>
    <row r="266" spans="1:10" x14ac:dyDescent="0.25">
      <c r="A266" s="25">
        <v>5201895801092</v>
      </c>
      <c r="B266" s="40" t="str">
        <f t="shared" si="15"/>
        <v>ADELCO-ΧΡΩΜΑΤΟΥΡΓΕΙΑ ΑΘΗΝΩΝ Α.Ε.</v>
      </c>
      <c r="C266" s="25" t="str">
        <f>"110625"</f>
        <v>110625</v>
      </c>
      <c r="D266" s="18" t="str">
        <f>"5201895801092"</f>
        <v>5201895801092</v>
      </c>
      <c r="E266" s="18" t="str">
        <f>"ADELCO BABY SENSITIVE CARE ΣΑΜΠΟΥΑΝ ΑΦΡΟΛΟΥΤΡΟ 300ML 0+m"</f>
        <v>ADELCO BABY SENSITIVE CARE ΣΑΜΠΟΥΑΝ ΑΦΡΟΛΟΥΤΡΟ 300ML 0+m</v>
      </c>
      <c r="F266" s="19">
        <v>7.17</v>
      </c>
      <c r="G266" s="20">
        <v>0.15</v>
      </c>
      <c r="H266" s="19">
        <f t="shared" si="11"/>
        <v>6.0945</v>
      </c>
      <c r="I266" s="18"/>
      <c r="J266" s="34"/>
    </row>
    <row r="267" spans="1:10" x14ac:dyDescent="0.25">
      <c r="A267" s="25">
        <v>5201895800729</v>
      </c>
      <c r="B267" s="40" t="str">
        <f t="shared" si="15"/>
        <v>ADELCO-ΧΡΩΜΑΤΟΥΡΓΕΙΑ ΑΘΗΝΩΝ Α.Ε.</v>
      </c>
      <c r="C267" s="25" t="str">
        <f>"110646"</f>
        <v>110646</v>
      </c>
      <c r="D267" s="18" t="str">
        <f>"5201895800729"</f>
        <v>5201895800729</v>
      </c>
      <c r="E267" s="18" t="str">
        <f>"ADELCO BABY WET WIPES CLEAN &amp; FRESH 2 STEPS (30 + 30ΤΜΧ) 0+m"</f>
        <v>ADELCO BABY WET WIPES CLEAN &amp; FRESH 2 STEPS (30 + 30ΤΜΧ) 0+m</v>
      </c>
      <c r="F267" s="19">
        <v>4.4800000000000004</v>
      </c>
      <c r="G267" s="20">
        <v>0.15</v>
      </c>
      <c r="H267" s="19">
        <f t="shared" si="11"/>
        <v>3.8080000000000003</v>
      </c>
      <c r="I267" s="18"/>
      <c r="J267" s="34"/>
    </row>
    <row r="268" spans="1:10" x14ac:dyDescent="0.25">
      <c r="A268" s="25">
        <v>5201895801832</v>
      </c>
      <c r="B268" s="40" t="str">
        <f t="shared" si="15"/>
        <v>ADELCO-ΧΡΩΜΑΤΟΥΡΓΕΙΑ ΑΘΗΝΩΝ Α.Ε.</v>
      </c>
      <c r="C268" s="25" t="str">
        <f>"110606"</f>
        <v>110606</v>
      </c>
      <c r="D268" s="18" t="str">
        <f>"5201895801832"</f>
        <v>5201895801832</v>
      </c>
      <c r="E268" s="18" t="str">
        <f>"SPARTAN SECRET INTENSE HYDRATING GEL 50ML"</f>
        <v>SPARTAN SECRET INTENSE HYDRATING GEL 50ML</v>
      </c>
      <c r="F268" s="19">
        <v>8.06</v>
      </c>
      <c r="G268" s="20">
        <v>0.2</v>
      </c>
      <c r="H268" s="19">
        <f t="shared" si="11"/>
        <v>6.4480000000000004</v>
      </c>
      <c r="I268" s="18"/>
      <c r="J268" s="34"/>
    </row>
    <row r="269" spans="1:10" x14ac:dyDescent="0.25">
      <c r="A269" s="25">
        <v>5201895801818</v>
      </c>
      <c r="B269" s="40" t="str">
        <f t="shared" si="15"/>
        <v>ADELCO-ΧΡΩΜΑΤΟΥΡΓΕΙΑ ΑΘΗΝΩΝ Α.Ε.</v>
      </c>
      <c r="C269" s="25" t="str">
        <f>"110586"</f>
        <v>110586</v>
      </c>
      <c r="D269" s="18" t="str">
        <f>"5201895801818"</f>
        <v>5201895801818</v>
      </c>
      <c r="E269" s="18" t="str">
        <f>"SPARTAN SECRET MOISTURISING DAY CREAM 50ML"</f>
        <v>SPARTAN SECRET MOISTURISING DAY CREAM 50ML</v>
      </c>
      <c r="F269" s="19">
        <v>8.8699999999999992</v>
      </c>
      <c r="G269" s="20">
        <v>0.2</v>
      </c>
      <c r="H269" s="19">
        <f t="shared" si="11"/>
        <v>7.0959999999999992</v>
      </c>
      <c r="I269" s="18"/>
      <c r="J269" s="34"/>
    </row>
    <row r="270" spans="1:10" x14ac:dyDescent="0.25">
      <c r="A270" s="25">
        <v>5201895801849</v>
      </c>
      <c r="B270" s="40" t="str">
        <f t="shared" si="15"/>
        <v>ADELCO-ΧΡΩΜΑΤΟΥΡΓΕΙΑ ΑΘΗΝΩΝ Α.Ε.</v>
      </c>
      <c r="C270" s="25" t="str">
        <f>"110605"</f>
        <v>110605</v>
      </c>
      <c r="D270" s="18" t="str">
        <f>"5201895801849"</f>
        <v>5201895801849</v>
      </c>
      <c r="E270" s="18" t="str">
        <f>"SPARTAN SECRET NOURISHING NIGHT CREAM 50ML"</f>
        <v>SPARTAN SECRET NOURISHING NIGHT CREAM 50ML</v>
      </c>
      <c r="F270" s="19">
        <v>8.8699999999999992</v>
      </c>
      <c r="G270" s="20">
        <v>0.2</v>
      </c>
      <c r="H270" s="19">
        <f t="shared" si="11"/>
        <v>7.0959999999999992</v>
      </c>
      <c r="I270" s="18"/>
      <c r="J270" s="34"/>
    </row>
    <row r="271" spans="1:10" x14ac:dyDescent="0.25">
      <c r="A271" s="25">
        <v>52011895801856</v>
      </c>
      <c r="B271" s="40" t="str">
        <f t="shared" si="15"/>
        <v>ADELCO-ΧΡΩΜΑΤΟΥΡΓΕΙΑ ΑΘΗΝΩΝ Α.Ε.</v>
      </c>
      <c r="C271" s="25" t="str">
        <f>"110607"</f>
        <v>110607</v>
      </c>
      <c r="D271" s="18" t="str">
        <f>"52011895801856"</f>
        <v>52011895801856</v>
      </c>
      <c r="E271" s="18" t="str">
        <f>"SPARTAN SECRET RICH MOISTURISING MASK 50ML"</f>
        <v>SPARTAN SECRET RICH MOISTURISING MASK 50ML</v>
      </c>
      <c r="F271" s="19">
        <v>7.66</v>
      </c>
      <c r="G271" s="20">
        <v>0.2</v>
      </c>
      <c r="H271" s="19">
        <f t="shared" si="11"/>
        <v>6.1280000000000001</v>
      </c>
      <c r="I271" s="18"/>
      <c r="J271" s="34"/>
    </row>
    <row r="272" spans="1:10" x14ac:dyDescent="0.25">
      <c r="A272" s="25">
        <v>5201895801825</v>
      </c>
      <c r="B272" s="40" t="str">
        <f t="shared" si="15"/>
        <v>ADELCO-ΧΡΩΜΑΤΟΥΡΓΕΙΑ ΑΘΗΝΩΝ Α.Ε.</v>
      </c>
      <c r="C272" s="25" t="str">
        <f>"110585"</f>
        <v>110585</v>
      </c>
      <c r="D272" s="18" t="str">
        <f>"5201895801825"</f>
        <v>5201895801825</v>
      </c>
      <c r="E272" s="18" t="str">
        <f>"SPARTAN SECRET SOFT PEELING MASK 50ML"</f>
        <v>SPARTAN SECRET SOFT PEELING MASK 50ML</v>
      </c>
      <c r="F272" s="19">
        <v>5.65</v>
      </c>
      <c r="G272" s="20">
        <v>0.2</v>
      </c>
      <c r="H272" s="19">
        <f t="shared" si="11"/>
        <v>4.5200000000000005</v>
      </c>
      <c r="I272" s="18"/>
      <c r="J272" s="34"/>
    </row>
    <row r="273" spans="1:10" x14ac:dyDescent="0.25">
      <c r="A273" s="25">
        <v>5201895800590</v>
      </c>
      <c r="B273" s="40" t="str">
        <f t="shared" si="15"/>
        <v>ADELCO-ΧΡΩΜΑΤΟΥΡΓΕΙΑ ΑΘΗΝΩΝ Α.Ε.</v>
      </c>
      <c r="C273" s="25" t="str">
        <f>"92085"</f>
        <v>92085</v>
      </c>
      <c r="D273" s="18" t="str">
        <f>"5201895800590"</f>
        <v>5201895800590</v>
      </c>
      <c r="E273" s="18" t="str">
        <f>"VENOLEN IDROGEL 100ML"</f>
        <v>VENOLEN IDROGEL 100ML</v>
      </c>
      <c r="F273" s="19">
        <v>9.4</v>
      </c>
      <c r="G273" s="20">
        <v>0.12</v>
      </c>
      <c r="H273" s="19">
        <f t="shared" si="11"/>
        <v>8.2720000000000002</v>
      </c>
      <c r="I273" s="18"/>
      <c r="J273" s="34"/>
    </row>
    <row r="274" spans="1:10" ht="15.75" thickBot="1" x14ac:dyDescent="0.3">
      <c r="A274" s="26">
        <v>5201895800033</v>
      </c>
      <c r="B274" s="132" t="str">
        <f t="shared" si="15"/>
        <v>ADELCO-ΧΡΩΜΑΤΟΥΡΓΕΙΑ ΑΘΗΝΩΝ Α.Ε.</v>
      </c>
      <c r="C274" s="30" t="str">
        <f>"24379"</f>
        <v>24379</v>
      </c>
      <c r="D274" s="31" t="str">
        <f>"5201895800033"</f>
        <v>5201895800033</v>
      </c>
      <c r="E274" s="31" t="str">
        <f>"VENOLEN PLUS CAPS x20"</f>
        <v>VENOLEN PLUS CAPS x20</v>
      </c>
      <c r="F274" s="19">
        <v>10.8</v>
      </c>
      <c r="G274" s="33">
        <v>0.12</v>
      </c>
      <c r="H274" s="32">
        <f t="shared" si="11"/>
        <v>9.5040000000000013</v>
      </c>
      <c r="I274" s="31"/>
      <c r="J274" s="56"/>
    </row>
    <row r="275" spans="1:10" ht="15" customHeight="1" x14ac:dyDescent="0.25">
      <c r="A275" s="55">
        <v>4030571004592</v>
      </c>
      <c r="B275" s="138" t="str">
        <f>"BAUSCH HEALTH HELLAS ΜΟΝ. Α.Φ.Ε."</f>
        <v>BAUSCH HEALTH HELLAS ΜΟΝ. Α.Φ.Ε.</v>
      </c>
      <c r="C275" s="6" t="str">
        <f>"28419"</f>
        <v>28419</v>
      </c>
      <c r="D275" s="7" t="str">
        <f>"4030571004592"</f>
        <v>4030571004592</v>
      </c>
      <c r="E275" s="7" t="str">
        <f>"ARTELAC COMPLETE DROPS 10ML"</f>
        <v>ARTELAC COMPLETE DROPS 10ML</v>
      </c>
      <c r="F275" s="19">
        <v>9.07</v>
      </c>
      <c r="G275" s="9">
        <v>0.05</v>
      </c>
      <c r="H275" s="23">
        <f t="shared" si="11"/>
        <v>8.6165000000000003</v>
      </c>
      <c r="I275" s="7"/>
      <c r="J275" s="237" t="s">
        <v>53</v>
      </c>
    </row>
    <row r="276" spans="1:10" ht="15" customHeight="1" x14ac:dyDescent="0.25">
      <c r="A276" s="10">
        <v>4049649000930</v>
      </c>
      <c r="B276" s="39" t="str">
        <f>"BAUSCH HEALTH HELLAS ΜΟΝ. Α.Φ.Ε."</f>
        <v>BAUSCH HEALTH HELLAS ΜΟΝ. Α.Φ.Ε.</v>
      </c>
      <c r="C276" s="10" t="str">
        <f>"20879"</f>
        <v>20879</v>
      </c>
      <c r="D276" s="3" t="str">
        <f>"4049649000930"</f>
        <v>4049649000930</v>
      </c>
      <c r="E276" s="3" t="str">
        <f>"ARTELAC ECTOIN EYE DROPS 10ML MDR"</f>
        <v>ARTELAC ECTOIN EYE DROPS 10ML MDR</v>
      </c>
      <c r="F276" s="19">
        <v>8.6199999999999992</v>
      </c>
      <c r="G276" s="5">
        <v>0.05</v>
      </c>
      <c r="H276" s="19">
        <f t="shared" si="11"/>
        <v>8.1890000000000001</v>
      </c>
      <c r="I276" s="3"/>
      <c r="J276" s="238"/>
    </row>
    <row r="277" spans="1:10" ht="15" customHeight="1" x14ac:dyDescent="0.25">
      <c r="A277" s="10">
        <v>4049649000923</v>
      </c>
      <c r="B277" s="39" t="str">
        <f>"BAUSCH HEALTH HELLAS ΜΟΝ. Α.Φ.Ε."</f>
        <v>BAUSCH HEALTH HELLAS ΜΟΝ. Α.Φ.Ε.</v>
      </c>
      <c r="C277" s="10" t="str">
        <f>"20880"</f>
        <v>20880</v>
      </c>
      <c r="D277" s="3" t="str">
        <f>"4049649000923"</f>
        <v>4049649000923</v>
      </c>
      <c r="E277" s="3" t="str">
        <f>"ARTELAC ECTOIN MONODOSE SDU x20"</f>
        <v>ARTELAC ECTOIN MONODOSE SDU x20</v>
      </c>
      <c r="F277" s="19">
        <v>8.7799999999999994</v>
      </c>
      <c r="G277" s="5">
        <v>0.05</v>
      </c>
      <c r="H277" s="19">
        <f t="shared" si="11"/>
        <v>8.3409999999999993</v>
      </c>
      <c r="I277" s="3"/>
      <c r="J277" s="238"/>
    </row>
    <row r="278" spans="1:10" ht="15" customHeight="1" x14ac:dyDescent="0.25">
      <c r="A278" s="10">
        <v>3830070471519</v>
      </c>
      <c r="B278" s="39" t="s">
        <v>88</v>
      </c>
      <c r="C278" s="10" t="s">
        <v>187</v>
      </c>
      <c r="D278" s="3" t="s">
        <v>188</v>
      </c>
      <c r="E278" s="3" t="s">
        <v>189</v>
      </c>
      <c r="F278" s="19">
        <v>6</v>
      </c>
      <c r="G278" s="5">
        <v>0.05</v>
      </c>
      <c r="H278" s="19">
        <f t="shared" si="11"/>
        <v>5.7</v>
      </c>
      <c r="I278" s="3"/>
      <c r="J278" s="238"/>
    </row>
    <row r="279" spans="1:10" ht="15" customHeight="1" x14ac:dyDescent="0.25">
      <c r="A279" s="10">
        <v>5397258000414</v>
      </c>
      <c r="B279" s="39" t="s">
        <v>88</v>
      </c>
      <c r="C279" s="10" t="s">
        <v>190</v>
      </c>
      <c r="D279" s="3" t="s">
        <v>191</v>
      </c>
      <c r="E279" s="3" t="s">
        <v>192</v>
      </c>
      <c r="F279" s="19">
        <v>4</v>
      </c>
      <c r="G279" s="5">
        <v>0.05</v>
      </c>
      <c r="H279" s="19">
        <f t="shared" si="11"/>
        <v>3.8</v>
      </c>
      <c r="I279" s="3"/>
      <c r="J279" s="239"/>
    </row>
    <row r="280" spans="1:10" x14ac:dyDescent="0.25">
      <c r="A280" s="25">
        <v>7391899847306</v>
      </c>
      <c r="B280" s="40" t="s">
        <v>88</v>
      </c>
      <c r="C280" s="25" t="str">
        <f>"0789"</f>
        <v>0789</v>
      </c>
      <c r="D280" s="18" t="str">
        <f>"7391899847306"</f>
        <v>7391899847306</v>
      </c>
      <c r="E280" s="18" t="str">
        <f>"BAUSCH &amp; LOMB RENU MULTI PLUS 360ML"</f>
        <v>BAUSCH &amp; LOMB RENU MULTI PLUS 360ML</v>
      </c>
      <c r="F280" s="19">
        <v>7.65</v>
      </c>
      <c r="G280" s="20">
        <v>0.3</v>
      </c>
      <c r="H280" s="19">
        <f t="shared" si="11"/>
        <v>5.3550000000000004</v>
      </c>
      <c r="I280" s="18"/>
      <c r="J280" s="58" t="s">
        <v>40</v>
      </c>
    </row>
    <row r="281" spans="1:10" s="2" customFormat="1" ht="15" customHeight="1" x14ac:dyDescent="0.25">
      <c r="A281" s="10">
        <v>3830070472318</v>
      </c>
      <c r="B281" s="39" t="str">
        <f t="shared" ref="B281:B286" si="16">"BAUSCH HEALTH HELLAS ΜΟΝ. Α.Φ.Ε."</f>
        <v>BAUSCH HEALTH HELLAS ΜΟΝ. Α.Φ.Ε.</v>
      </c>
      <c r="C281" s="10" t="str">
        <f>"111985"</f>
        <v>111985</v>
      </c>
      <c r="D281" s="3" t="str">
        <f>"3830070472318"</f>
        <v>3830070472318</v>
      </c>
      <c r="E281" s="3" t="str">
        <f>"COUNTERCOOL GEL 3 IN 1 100ML"</f>
        <v>COUNTERCOOL GEL 3 IN 1 100ML</v>
      </c>
      <c r="F281" s="19">
        <v>7.25</v>
      </c>
      <c r="G281" s="5">
        <v>0.05</v>
      </c>
      <c r="H281" s="19">
        <f t="shared" si="11"/>
        <v>6.8875000000000002</v>
      </c>
      <c r="I281" s="3"/>
      <c r="J281" s="236" t="s">
        <v>30</v>
      </c>
    </row>
    <row r="282" spans="1:10" s="2" customFormat="1" ht="15" customHeight="1" thickBot="1" x14ac:dyDescent="0.3">
      <c r="A282" s="15">
        <v>3830070472325</v>
      </c>
      <c r="B282" s="99" t="str">
        <f t="shared" si="16"/>
        <v>BAUSCH HEALTH HELLAS ΜΟΝ. Α.Φ.Ε.</v>
      </c>
      <c r="C282" s="11" t="str">
        <f>"111986"</f>
        <v>111986</v>
      </c>
      <c r="D282" s="12" t="str">
        <f>"3830070472325"</f>
        <v>3830070472325</v>
      </c>
      <c r="E282" s="12" t="str">
        <f>"COUNTERCOOL SPRAY 300ML"</f>
        <v>COUNTERCOOL SPRAY 300ML</v>
      </c>
      <c r="F282" s="19">
        <v>7.59</v>
      </c>
      <c r="G282" s="14">
        <v>0.05</v>
      </c>
      <c r="H282" s="28">
        <f t="shared" si="11"/>
        <v>7.2104999999999997</v>
      </c>
      <c r="I282" s="12"/>
      <c r="J282" s="227"/>
    </row>
    <row r="283" spans="1:10" ht="15" customHeight="1" x14ac:dyDescent="0.25">
      <c r="A283" s="21">
        <v>4030571002994</v>
      </c>
      <c r="B283" s="131" t="str">
        <f t="shared" si="16"/>
        <v>BAUSCH HEALTH HELLAS ΜΟΝ. Α.Φ.Ε.</v>
      </c>
      <c r="C283" s="57" t="str">
        <f>"0540153"</f>
        <v>0540153</v>
      </c>
      <c r="D283" s="41" t="str">
        <f>"4030571002994"</f>
        <v>4030571002994</v>
      </c>
      <c r="E283" s="41" t="str">
        <f>"OCUVITE COMPLETE 60 CAPS"</f>
        <v>OCUVITE COMPLETE 60 CAPS</v>
      </c>
      <c r="F283" s="19">
        <v>16.18</v>
      </c>
      <c r="G283" s="43">
        <v>0.05</v>
      </c>
      <c r="H283" s="42">
        <f t="shared" si="11"/>
        <v>15.371</v>
      </c>
      <c r="I283" s="41"/>
      <c r="J283" s="218" t="s">
        <v>53</v>
      </c>
    </row>
    <row r="284" spans="1:10" ht="15" customHeight="1" x14ac:dyDescent="0.25">
      <c r="A284" s="25">
        <v>5904398369396</v>
      </c>
      <c r="B284" s="40" t="str">
        <f t="shared" si="16"/>
        <v>BAUSCH HEALTH HELLAS ΜΟΝ. Α.Φ.Ε.</v>
      </c>
      <c r="C284" s="25" t="str">
        <f>"052664"</f>
        <v>052664</v>
      </c>
      <c r="D284" s="18" t="str">
        <f>"5904398369396"</f>
        <v>5904398369396</v>
      </c>
      <c r="E284" s="18" t="str">
        <f>"OCUVITE LUTEIN FORTE 30S"</f>
        <v>OCUVITE LUTEIN FORTE 30S</v>
      </c>
      <c r="F284" s="19">
        <v>13.68</v>
      </c>
      <c r="G284" s="20">
        <v>0.05</v>
      </c>
      <c r="H284" s="19">
        <f t="shared" si="11"/>
        <v>12.996</v>
      </c>
      <c r="I284" s="18"/>
      <c r="J284" s="218"/>
    </row>
    <row r="285" spans="1:10" ht="15" customHeight="1" thickBot="1" x14ac:dyDescent="0.3">
      <c r="A285" s="26">
        <v>5904398359397</v>
      </c>
      <c r="B285" s="132" t="str">
        <f t="shared" si="16"/>
        <v>BAUSCH HEALTH HELLAS ΜΟΝ. Α.Φ.Ε.</v>
      </c>
      <c r="C285" s="30" t="str">
        <f>"73065"</f>
        <v>73065</v>
      </c>
      <c r="D285" s="31" t="str">
        <f>"5904398359397"</f>
        <v>5904398359397</v>
      </c>
      <c r="E285" s="31" t="str">
        <f>"OCUVITE LUTEIN PREMIUM 30TABS"</f>
        <v>OCUVITE LUTEIN PREMIUM 30TABS</v>
      </c>
      <c r="F285" s="19">
        <v>15</v>
      </c>
      <c r="G285" s="33">
        <v>0.05</v>
      </c>
      <c r="H285" s="32">
        <f t="shared" si="11"/>
        <v>14.25</v>
      </c>
      <c r="I285" s="31"/>
      <c r="J285" s="218"/>
    </row>
    <row r="286" spans="1:10" ht="15" customHeight="1" thickBot="1" x14ac:dyDescent="0.3">
      <c r="A286" s="72">
        <v>4030571002499</v>
      </c>
      <c r="B286" s="85" t="str">
        <f t="shared" si="16"/>
        <v>BAUSCH HEALTH HELLAS ΜΟΝ. Α.Φ.Ε.</v>
      </c>
      <c r="C286" s="61" t="str">
        <f>"054096"</f>
        <v>054096</v>
      </c>
      <c r="D286" s="62" t="str">
        <f>"4030571002499"</f>
        <v>4030571002499</v>
      </c>
      <c r="E286" s="62" t="str">
        <f>"RECUGEL EYE GEL 10G"</f>
        <v>RECUGEL EYE GEL 10G</v>
      </c>
      <c r="F286" s="19">
        <v>5.98</v>
      </c>
      <c r="G286" s="64">
        <v>0.05</v>
      </c>
      <c r="H286" s="63">
        <f t="shared" si="11"/>
        <v>5.681</v>
      </c>
      <c r="I286" s="62"/>
      <c r="J286" s="98" t="s">
        <v>53</v>
      </c>
    </row>
    <row r="287" spans="1:10" s="2" customFormat="1" ht="15" customHeight="1" x14ac:dyDescent="0.25">
      <c r="A287" s="95">
        <v>5200309851517</v>
      </c>
      <c r="B287" s="143" t="str">
        <f t="shared" ref="B287:B316" si="17">"BAYER ΕΛΛΑΣ Α.Β.Ε.Ε."</f>
        <v>BAYER ΕΛΛΑΣ Α.Β.Ε.Ε.</v>
      </c>
      <c r="C287" s="168" t="str">
        <f>"2419"</f>
        <v>2419</v>
      </c>
      <c r="D287" s="169" t="str">
        <f>"5200309851517"</f>
        <v>5200309851517</v>
      </c>
      <c r="E287" s="169" t="str">
        <f>"BEPANTHOL CREAM 100GR"</f>
        <v>BEPANTHOL CREAM 100GR</v>
      </c>
      <c r="F287" s="19">
        <v>5.65</v>
      </c>
      <c r="G287" s="48">
        <v>0.08</v>
      </c>
      <c r="H287" s="42">
        <f t="shared" si="11"/>
        <v>5.1980000000000004</v>
      </c>
      <c r="I287" s="47"/>
      <c r="J287" s="226" t="s">
        <v>134</v>
      </c>
    </row>
    <row r="288" spans="1:10" s="2" customFormat="1" ht="15" customHeight="1" x14ac:dyDescent="0.25">
      <c r="A288" s="96">
        <v>5200309851852</v>
      </c>
      <c r="B288" s="144" t="str">
        <f t="shared" si="17"/>
        <v>BAYER ΕΛΛΑΣ Α.Β.Ε.Ε.</v>
      </c>
      <c r="C288" s="96" t="str">
        <f>"74548"</f>
        <v>74548</v>
      </c>
      <c r="D288" s="94" t="str">
        <f>"5200309851852"</f>
        <v>5200309851852</v>
      </c>
      <c r="E288" s="94" t="str">
        <f>"BEPANTHENE ECZEMA CREAM 50GR"</f>
        <v>BEPANTHENE ECZEMA CREAM 50GR</v>
      </c>
      <c r="F288" s="19">
        <v>8.9</v>
      </c>
      <c r="G288" s="5">
        <v>0.08</v>
      </c>
      <c r="H288" s="19">
        <f t="shared" si="11"/>
        <v>8.1880000000000006</v>
      </c>
      <c r="I288" s="3"/>
      <c r="J288" s="226"/>
    </row>
    <row r="289" spans="1:10" s="2" customFormat="1" ht="15" customHeight="1" thickBot="1" x14ac:dyDescent="0.3">
      <c r="A289" s="11">
        <v>5200309851067</v>
      </c>
      <c r="B289" s="130" t="str">
        <f t="shared" si="17"/>
        <v>BAYER ΕΛΛΑΣ Α.Β.Ε.Ε.</v>
      </c>
      <c r="C289" s="15" t="str">
        <f>"42919"</f>
        <v>42919</v>
      </c>
      <c r="D289" s="16" t="str">
        <f>"5200309851067"</f>
        <v>5200309851067</v>
      </c>
      <c r="E289" s="16" t="str">
        <f>"BEPANTHOL FOAM SPRAY COOLING 75 ML"</f>
        <v>BEPANTHOL FOAM SPRAY COOLING 75 ML</v>
      </c>
      <c r="F289" s="19">
        <v>7.95</v>
      </c>
      <c r="G289" s="17">
        <v>0.08</v>
      </c>
      <c r="H289" s="32">
        <f t="shared" si="11"/>
        <v>7.3140000000000001</v>
      </c>
      <c r="I289" s="16"/>
      <c r="J289" s="226"/>
    </row>
    <row r="290" spans="1:10" ht="15" customHeight="1" x14ac:dyDescent="0.25">
      <c r="A290" s="57">
        <v>5200309851845</v>
      </c>
      <c r="B290" s="71" t="str">
        <f t="shared" si="17"/>
        <v>BAYER ΕΛΛΑΣ Α.Β.Ε.Ε.</v>
      </c>
      <c r="C290" s="21" t="str">
        <f>"74546"</f>
        <v>74546</v>
      </c>
      <c r="D290" s="22" t="str">
        <f>"5200309851845"</f>
        <v>5200309851845</v>
      </c>
      <c r="E290" s="22" t="str">
        <f>"BEPANTHENE EYE DROPS 10ML"</f>
        <v>BEPANTHENE EYE DROPS 10ML</v>
      </c>
      <c r="F290" s="19">
        <v>9.14</v>
      </c>
      <c r="G290" s="24">
        <v>0.08</v>
      </c>
      <c r="H290" s="23">
        <f t="shared" ref="H290:H354" si="18">F290-F290*G290</f>
        <v>8.4088000000000012</v>
      </c>
      <c r="I290" s="22"/>
      <c r="J290" s="221" t="s">
        <v>9</v>
      </c>
    </row>
    <row r="291" spans="1:10" ht="15" customHeight="1" x14ac:dyDescent="0.25">
      <c r="A291" s="25">
        <v>5200309851838</v>
      </c>
      <c r="B291" s="40" t="str">
        <f t="shared" si="17"/>
        <v>BAYER ΕΛΛΑΣ Α.Β.Ε.Ε.</v>
      </c>
      <c r="C291" s="25" t="str">
        <f>"74547"</f>
        <v>74547</v>
      </c>
      <c r="D291" s="18" t="str">
        <f>"5200309851838"</f>
        <v>5200309851838</v>
      </c>
      <c r="E291" s="18" t="str">
        <f>"BEPANTHENE EYE DROPS AMP. 20x0,5ML"</f>
        <v>BEPANTHENE EYE DROPS AMP. 20x0,5ML</v>
      </c>
      <c r="F291" s="19">
        <v>8.6199999999999992</v>
      </c>
      <c r="G291" s="20">
        <v>0.08</v>
      </c>
      <c r="H291" s="19">
        <f t="shared" si="18"/>
        <v>7.9303999999999988</v>
      </c>
      <c r="I291" s="18"/>
      <c r="J291" s="218"/>
    </row>
    <row r="292" spans="1:10" ht="15" customHeight="1" x14ac:dyDescent="0.25">
      <c r="A292" s="30">
        <v>5200309851951</v>
      </c>
      <c r="B292" s="133" t="s">
        <v>212</v>
      </c>
      <c r="C292" s="30" t="s">
        <v>213</v>
      </c>
      <c r="D292" s="31" t="s">
        <v>214</v>
      </c>
      <c r="E292" s="31" t="s">
        <v>215</v>
      </c>
      <c r="F292" s="19">
        <v>5.95</v>
      </c>
      <c r="G292" s="33">
        <v>0.08</v>
      </c>
      <c r="H292" s="19">
        <f t="shared" si="18"/>
        <v>5.4740000000000002</v>
      </c>
      <c r="I292" s="31"/>
      <c r="J292" s="218"/>
    </row>
    <row r="293" spans="1:10" ht="15" customHeight="1" thickBot="1" x14ac:dyDescent="0.3">
      <c r="A293" s="26">
        <v>5200309851869</v>
      </c>
      <c r="B293" s="132" t="str">
        <f t="shared" si="17"/>
        <v>BAYER ΕΛΛΑΣ Α.Β.Ε.Ε.</v>
      </c>
      <c r="C293" s="26" t="str">
        <f>"99967"</f>
        <v>99967</v>
      </c>
      <c r="D293" s="27" t="str">
        <f>"5200309851869"</f>
        <v>5200309851869</v>
      </c>
      <c r="E293" s="27" t="str">
        <f>"BEPANTHENE SENSIDAILY CREAM 400ML"</f>
        <v>BEPANTHENE SENSIDAILY CREAM 400ML</v>
      </c>
      <c r="F293" s="19">
        <v>17</v>
      </c>
      <c r="G293" s="29">
        <v>0.08</v>
      </c>
      <c r="H293" s="28">
        <f t="shared" si="18"/>
        <v>15.64</v>
      </c>
      <c r="I293" s="27"/>
      <c r="J293" s="222"/>
    </row>
    <row r="294" spans="1:10" s="2" customFormat="1" ht="15" customHeight="1" x14ac:dyDescent="0.25">
      <c r="A294" s="55">
        <v>5200309851371</v>
      </c>
      <c r="B294" s="138" t="str">
        <f t="shared" si="17"/>
        <v>BAYER ΕΛΛΑΣ Α.Β.Ε.Ε.</v>
      </c>
      <c r="C294" s="55" t="s">
        <v>199</v>
      </c>
      <c r="D294" s="47" t="s">
        <v>194</v>
      </c>
      <c r="E294" s="47" t="s">
        <v>195</v>
      </c>
      <c r="F294" s="19">
        <v>17.559999999999999</v>
      </c>
      <c r="G294" s="48">
        <v>0.08</v>
      </c>
      <c r="H294" s="42">
        <f t="shared" si="18"/>
        <v>16.155200000000001</v>
      </c>
      <c r="I294" s="47"/>
      <c r="J294" s="224" t="s">
        <v>16</v>
      </c>
    </row>
    <row r="295" spans="1:10" s="2" customFormat="1" ht="15" customHeight="1" thickBot="1" x14ac:dyDescent="0.3">
      <c r="A295" s="15">
        <v>5200309851586</v>
      </c>
      <c r="B295" s="99" t="str">
        <f t="shared" si="17"/>
        <v>BAYER ΕΛΛΑΣ Α.Β.Ε.Ε.</v>
      </c>
      <c r="C295" s="15" t="str">
        <f>"52223"</f>
        <v>52223</v>
      </c>
      <c r="D295" s="16" t="str">
        <f>"5200309851586"</f>
        <v>5200309851586</v>
      </c>
      <c r="E295" s="16" t="str">
        <f>"BEPANTHOL ANTI-WRINKLE ΠΡΟΣ.ΜΑΤ.ΛΑΙΜ.50ML+ ΝΕΣΕΣΕΡ ΔΩΡΟ ΓΑΛΑΚΤ. ΣΩΜΑΤΟΣ"</f>
        <v>BEPANTHOL ANTI-WRINKLE ΠΡΟΣ.ΜΑΤ.ΛΑΙΜ.50ML+ ΝΕΣΕΣΕΡ ΔΩΡΟ ΓΑΛΑΚΤ. ΣΩΜΑΤΟΣ</v>
      </c>
      <c r="F295" s="19">
        <v>17.559999999999999</v>
      </c>
      <c r="G295" s="17">
        <v>0.08</v>
      </c>
      <c r="H295" s="32">
        <f t="shared" si="18"/>
        <v>16.155200000000001</v>
      </c>
      <c r="I295" s="16"/>
      <c r="J295" s="224"/>
    </row>
    <row r="296" spans="1:10" ht="15" customHeight="1" x14ac:dyDescent="0.25">
      <c r="A296" s="21">
        <v>5200309851043</v>
      </c>
      <c r="B296" s="131" t="str">
        <f t="shared" si="17"/>
        <v>BAYER ΕΛΛΑΣ Α.Β.Ε.Ε.</v>
      </c>
      <c r="C296" s="21" t="str">
        <f>"03337"</f>
        <v>03337</v>
      </c>
      <c r="D296" s="22" t="str">
        <f>"5200309851043"</f>
        <v>5200309851043</v>
      </c>
      <c r="E296" s="22" t="str">
        <f>"BEPANTHOL BABY BALM OINT. 5% 100GR (ΣΥΓΚΑΜΑ ΜΩΡΟΥ)"</f>
        <v>BEPANTHOL BABY BALM OINT. 5% 100GR (ΣΥΓΚΑΜΑ ΜΩΡΟΥ)</v>
      </c>
      <c r="F296" s="19">
        <v>6.69</v>
      </c>
      <c r="G296" s="24">
        <v>0.08</v>
      </c>
      <c r="H296" s="23">
        <f t="shared" si="18"/>
        <v>6.1548000000000007</v>
      </c>
      <c r="I296" s="22"/>
      <c r="J296" s="221" t="s">
        <v>31</v>
      </c>
    </row>
    <row r="297" spans="1:10" ht="15" customHeight="1" x14ac:dyDescent="0.25">
      <c r="A297" s="25">
        <v>5200309851036</v>
      </c>
      <c r="B297" s="40" t="str">
        <f t="shared" si="17"/>
        <v>BAYER ΕΛΛΑΣ Α.Β.Ε.Ε.</v>
      </c>
      <c r="C297" s="25" t="str">
        <f>"02445"</f>
        <v>02445</v>
      </c>
      <c r="D297" s="18" t="str">
        <f>"5200309851036"</f>
        <v>5200309851036</v>
      </c>
      <c r="E297" s="18" t="str">
        <f>"BEPANTHOL BABY BALM OINT. 5% 30GR (ΣΥΓΚΑΜΑ ΜΩΡΟΥ)"</f>
        <v>BEPANTHOL BABY BALM OINT. 5% 30GR (ΣΥΓΚΑΜΑ ΜΩΡΟΥ)</v>
      </c>
      <c r="F297" s="19">
        <v>3.43</v>
      </c>
      <c r="G297" s="20">
        <v>0.08</v>
      </c>
      <c r="H297" s="19">
        <f t="shared" si="18"/>
        <v>3.1556000000000002</v>
      </c>
      <c r="I297" s="18"/>
      <c r="J297" s="218"/>
    </row>
    <row r="298" spans="1:10" ht="15" customHeight="1" thickBot="1" x14ac:dyDescent="0.3">
      <c r="A298" s="26">
        <v>5200309851142</v>
      </c>
      <c r="B298" s="132" t="str">
        <f t="shared" si="17"/>
        <v>BAYER ΕΛΛΑΣ Α.Β.Ε.Ε.</v>
      </c>
      <c r="C298" s="26" t="str">
        <f>"053902"</f>
        <v>053902</v>
      </c>
      <c r="D298" s="27" t="str">
        <f>"5200309851142"</f>
        <v>5200309851142</v>
      </c>
      <c r="E298" s="27" t="str">
        <f>"BEPANTHOL BALM PROTECTIVE OINT. 100G (ΕΡΕΘΙΣΜΟΙ)"</f>
        <v>BEPANTHOL BALM PROTECTIVE OINT. 100G (ΕΡΕΘΙΣΜΟΙ)</v>
      </c>
      <c r="F298" s="19">
        <v>6.69</v>
      </c>
      <c r="G298" s="29">
        <v>0.08</v>
      </c>
      <c r="H298" s="28">
        <f t="shared" si="18"/>
        <v>6.1548000000000007</v>
      </c>
      <c r="I298" s="27"/>
      <c r="J298" s="222"/>
    </row>
    <row r="299" spans="1:10" s="2" customFormat="1" ht="15" customHeight="1" x14ac:dyDescent="0.25">
      <c r="A299" s="6">
        <v>5200309851777</v>
      </c>
      <c r="B299" s="129" t="str">
        <f t="shared" si="17"/>
        <v>BAYER ΕΛΛΑΣ Α.Β.Ε.Ε.</v>
      </c>
      <c r="C299" s="55" t="str">
        <f>"96148"</f>
        <v>96148</v>
      </c>
      <c r="D299" s="47" t="str">
        <f>"5200309851777"</f>
        <v>5200309851777</v>
      </c>
      <c r="E299" s="47" t="str">
        <f>"BEPANTHOL DERMA BODY WASH GEL 400ML ΞΗΡΟ ΕΥΑΙΣΘΗΤΟ"</f>
        <v>BEPANTHOL DERMA BODY WASH GEL 400ML ΞΗΡΟ ΕΥΑΙΣΘΗΤΟ</v>
      </c>
      <c r="F299" s="19">
        <v>9.08</v>
      </c>
      <c r="G299" s="48">
        <v>0.08</v>
      </c>
      <c r="H299" s="42">
        <f t="shared" si="18"/>
        <v>8.3536000000000001</v>
      </c>
      <c r="I299" s="47"/>
      <c r="J299" s="224" t="s">
        <v>31</v>
      </c>
    </row>
    <row r="300" spans="1:10" s="2" customFormat="1" ht="15" customHeight="1" x14ac:dyDescent="0.25">
      <c r="A300" s="10">
        <v>5200309851814</v>
      </c>
      <c r="B300" s="39" t="str">
        <f t="shared" si="17"/>
        <v>BAYER ΕΛΛΑΣ Α.Β.Ε.Ε.</v>
      </c>
      <c r="C300" s="10" t="str">
        <f>"96149"</f>
        <v>96149</v>
      </c>
      <c r="D300" s="3" t="str">
        <f>"5200309851814"</f>
        <v>5200309851814</v>
      </c>
      <c r="E300" s="3" t="str">
        <f>"BEPANTHOL DERMA FACE WASH GEL 200ML"</f>
        <v>BEPANTHOL DERMA FACE WASH GEL 200ML</v>
      </c>
      <c r="F300" s="19">
        <v>7.47</v>
      </c>
      <c r="G300" s="5">
        <v>0.08</v>
      </c>
      <c r="H300" s="19">
        <f t="shared" si="18"/>
        <v>6.8723999999999998</v>
      </c>
      <c r="I300" s="3"/>
      <c r="J300" s="224"/>
    </row>
    <row r="301" spans="1:10" s="2" customFormat="1" ht="15" customHeight="1" thickBot="1" x14ac:dyDescent="0.3">
      <c r="A301" s="11">
        <v>5200309851807</v>
      </c>
      <c r="B301" s="130" t="str">
        <f t="shared" si="17"/>
        <v>BAYER ΕΛΛΑΣ Α.Β.Ε.Ε.</v>
      </c>
      <c r="C301" s="15" t="str">
        <f>"96150"</f>
        <v>96150</v>
      </c>
      <c r="D301" s="16" t="str">
        <f>"5200309851807"</f>
        <v>5200309851807</v>
      </c>
      <c r="E301" s="16" t="str">
        <f>"BEPANTHOL DERMA REGENERATING NIGHT FACE CREME 50ML"</f>
        <v>BEPANTHOL DERMA REGENERATING NIGHT FACE CREME 50ML</v>
      </c>
      <c r="F301" s="19">
        <v>13.56</v>
      </c>
      <c r="G301" s="17">
        <v>0.08</v>
      </c>
      <c r="H301" s="32">
        <f t="shared" si="18"/>
        <v>12.475200000000001</v>
      </c>
      <c r="I301" s="16"/>
      <c r="J301" s="224"/>
    </row>
    <row r="302" spans="1:10" ht="15" customHeight="1" x14ac:dyDescent="0.25">
      <c r="A302" s="21">
        <v>5200309851753</v>
      </c>
      <c r="B302" s="131" t="str">
        <f t="shared" si="17"/>
        <v>BAYER ΕΛΛΑΣ Α.Β.Ε.Ε.</v>
      </c>
      <c r="C302" s="21" t="str">
        <f>"96152"</f>
        <v>96152</v>
      </c>
      <c r="D302" s="22" t="str">
        <f>"5200309851753"</f>
        <v>5200309851753</v>
      </c>
      <c r="E302" s="22" t="str">
        <f>"BEPANTHOL DERMA REPLENISH BODY MILK 200ML ΠΟΛΥ ΞΗΡΟ ΕΥΑΙΣΘΗΤΟ"</f>
        <v>BEPANTHOL DERMA REPLENISH BODY MILK 200ML ΠΟΛΥ ΞΗΡΟ ΕΥΑΙΣΘΗΤΟ</v>
      </c>
      <c r="F302" s="19">
        <v>8.9</v>
      </c>
      <c r="G302" s="24">
        <v>0.08</v>
      </c>
      <c r="H302" s="23">
        <f t="shared" si="18"/>
        <v>8.1880000000000006</v>
      </c>
      <c r="I302" s="22"/>
      <c r="J302" s="221" t="s">
        <v>31</v>
      </c>
    </row>
    <row r="303" spans="1:10" ht="15" customHeight="1" x14ac:dyDescent="0.25">
      <c r="A303" s="25">
        <v>5200309851760</v>
      </c>
      <c r="B303" s="40" t="str">
        <f t="shared" si="17"/>
        <v>BAYER ΕΛΛΑΣ Α.Β.Ε.Ε.</v>
      </c>
      <c r="C303" s="25" t="str">
        <f>"96145"</f>
        <v>96145</v>
      </c>
      <c r="D303" s="18" t="str">
        <f>"5200309851760"</f>
        <v>5200309851760</v>
      </c>
      <c r="E303" s="18" t="str">
        <f>"BEPANTHOL DERMA REPLENISH BODY MILK 400ML ΠΟΛΥ ΞΗΡΟ ΕΥΑΙΣΘΗΤΟ"</f>
        <v>BEPANTHOL DERMA REPLENISH BODY MILK 400ML ΠΟΛΥ ΞΗΡΟ ΕΥΑΙΣΘΗΤΟ</v>
      </c>
      <c r="F303" s="19">
        <v>13.68</v>
      </c>
      <c r="G303" s="20">
        <v>0.08</v>
      </c>
      <c r="H303" s="19">
        <f t="shared" si="18"/>
        <v>12.585599999999999</v>
      </c>
      <c r="I303" s="18"/>
      <c r="J303" s="218"/>
    </row>
    <row r="304" spans="1:10" ht="15" customHeight="1" thickBot="1" x14ac:dyDescent="0.3">
      <c r="A304" s="26">
        <v>5200309851784</v>
      </c>
      <c r="B304" s="132" t="str">
        <f t="shared" si="17"/>
        <v>BAYER ΕΛΛΑΣ Α.Β.Ε.Ε.</v>
      </c>
      <c r="C304" s="26" t="str">
        <f>"95465"</f>
        <v>95465</v>
      </c>
      <c r="D304" s="27" t="str">
        <f>"5200309851784"</f>
        <v>5200309851784</v>
      </c>
      <c r="E304" s="27" t="str">
        <f>"BEPANTHOL DERMA REPLΕNISH FACE CREME 50ML ΞΗΡΟ ΕΥΑΙΣΘΗΤΟ"</f>
        <v>BEPANTHOL DERMA REPLΕNISH FACE CREME 50ML ΞΗΡΟ ΕΥΑΙΣΘΗΤΟ</v>
      </c>
      <c r="F304" s="19">
        <v>12.84</v>
      </c>
      <c r="G304" s="29">
        <v>0.08</v>
      </c>
      <c r="H304" s="28">
        <f t="shared" si="18"/>
        <v>11.812799999999999</v>
      </c>
      <c r="I304" s="27"/>
      <c r="J304" s="222"/>
    </row>
    <row r="305" spans="1:10" s="2" customFormat="1" ht="15" customHeight="1" x14ac:dyDescent="0.25">
      <c r="A305" s="6">
        <v>5200309851746</v>
      </c>
      <c r="B305" s="129" t="str">
        <f t="shared" si="17"/>
        <v>BAYER ΕΛΛΑΣ Α.Β.Ε.Ε.</v>
      </c>
      <c r="C305" s="55" t="str">
        <f>"96146"</f>
        <v>96146</v>
      </c>
      <c r="D305" s="47" t="str">
        <f>"5200309851746"</f>
        <v>5200309851746</v>
      </c>
      <c r="E305" s="47" t="str">
        <f>"BEPANTHOL DERMA RESTORING BODY LOTION 200ML ΞΗΡΟ ΕΥΑΙΣΘΗΤΟ"</f>
        <v>BEPANTHOL DERMA RESTORING BODY LOTION 200ML ΞΗΡΟ ΕΥΑΙΣΘΗΤΟ</v>
      </c>
      <c r="F305" s="19">
        <v>8.9</v>
      </c>
      <c r="G305" s="48">
        <v>0.08</v>
      </c>
      <c r="H305" s="42">
        <f t="shared" si="18"/>
        <v>8.1880000000000006</v>
      </c>
      <c r="I305" s="47"/>
      <c r="J305" s="235" t="s">
        <v>31</v>
      </c>
    </row>
    <row r="306" spans="1:10" s="2" customFormat="1" ht="15" customHeight="1" x14ac:dyDescent="0.25">
      <c r="A306" s="10">
        <v>5200309851739</v>
      </c>
      <c r="B306" s="39" t="str">
        <f t="shared" si="17"/>
        <v>BAYER ΕΛΛΑΣ Α.Β.Ε.Ε.</v>
      </c>
      <c r="C306" s="10" t="str">
        <f>"96147"</f>
        <v>96147</v>
      </c>
      <c r="D306" s="3" t="str">
        <f>"5200309851739"</f>
        <v>5200309851739</v>
      </c>
      <c r="E306" s="3" t="str">
        <f>"BEPANTHOL DERMA RESTORING BODY LOTION 400ML ΞΗΡΟ ΕΥΑΙΣΘΗΤΟ"</f>
        <v>BEPANTHOL DERMA RESTORING BODY LOTION 400ML ΞΗΡΟ ΕΥΑΙΣΘΗΤΟ</v>
      </c>
      <c r="F306" s="19">
        <v>13.68</v>
      </c>
      <c r="G306" s="5">
        <v>0.08</v>
      </c>
      <c r="H306" s="19">
        <f t="shared" si="18"/>
        <v>12.585599999999999</v>
      </c>
      <c r="I306" s="3"/>
      <c r="J306" s="235"/>
    </row>
    <row r="307" spans="1:10" s="2" customFormat="1" ht="15" customHeight="1" thickBot="1" x14ac:dyDescent="0.3">
      <c r="A307" s="11">
        <v>5200309851791</v>
      </c>
      <c r="B307" s="130" t="str">
        <f t="shared" si="17"/>
        <v>BAYER ΕΛΛΑΣ Α.Β.Ε.Ε.</v>
      </c>
      <c r="C307" s="15" t="str">
        <f>"96151"</f>
        <v>96151</v>
      </c>
      <c r="D307" s="16" t="str">
        <f>"5200309851791"</f>
        <v>5200309851791</v>
      </c>
      <c r="E307" s="16" t="str">
        <f>"BEPANTHOL DERMA RESTORING DAILY FACE CREME SPF25 50ML"</f>
        <v>BEPANTHOL DERMA RESTORING DAILY FACE CREME SPF25 50ML</v>
      </c>
      <c r="F307" s="19">
        <v>13.14</v>
      </c>
      <c r="G307" s="17">
        <v>0.08</v>
      </c>
      <c r="H307" s="32">
        <f t="shared" si="18"/>
        <v>12.088800000000001</v>
      </c>
      <c r="I307" s="16"/>
      <c r="J307" s="235"/>
    </row>
    <row r="308" spans="1:10" ht="15" customHeight="1" x14ac:dyDescent="0.25">
      <c r="A308" s="86">
        <v>5200309851579</v>
      </c>
      <c r="B308" s="139" t="str">
        <f t="shared" si="17"/>
        <v>BAYER ΕΛΛΑΣ Α.Β.Ε.Ε.</v>
      </c>
      <c r="C308" s="86" t="str">
        <f>"083546"</f>
        <v>083546</v>
      </c>
      <c r="D308" s="87" t="str">
        <f>"5200309851579"</f>
        <v>5200309851579</v>
      </c>
      <c r="E308" s="87" t="str">
        <f>"BEPANTHOL FACE CREAM 75ML +(ΔΩΡΟ SUN FACE CREAM SPF50+ 75ML)"</f>
        <v>BEPANTHOL FACE CREAM 75ML +(ΔΩΡΟ SUN FACE CREAM SPF50+ 75ML)</v>
      </c>
      <c r="F308" s="19">
        <v>12.6</v>
      </c>
      <c r="G308" s="89">
        <v>0.08</v>
      </c>
      <c r="H308" s="23">
        <f t="shared" si="18"/>
        <v>11.591999999999999</v>
      </c>
      <c r="I308" s="87"/>
      <c r="J308" s="221" t="s">
        <v>31</v>
      </c>
    </row>
    <row r="309" spans="1:10" ht="15" customHeight="1" thickBot="1" x14ac:dyDescent="0.3">
      <c r="A309" s="26">
        <v>5200309851166</v>
      </c>
      <c r="B309" s="132" t="str">
        <f t="shared" si="17"/>
        <v>BAYER ΕΛΛΑΣ Α.Β.Ε.Ε.</v>
      </c>
      <c r="C309" s="26" t="str">
        <f>"053706"</f>
        <v>053706</v>
      </c>
      <c r="D309" s="27" t="str">
        <f>"5200309851166"</f>
        <v>5200309851166</v>
      </c>
      <c r="E309" s="27" t="str">
        <f>"BEPANTHOL INTENS.FACE&amp;EYE CREAM 50ML"</f>
        <v>BEPANTHOL INTENS.FACE&amp;EYE CREAM 50ML</v>
      </c>
      <c r="F309" s="19">
        <v>11.92</v>
      </c>
      <c r="G309" s="29">
        <v>0.08</v>
      </c>
      <c r="H309" s="28">
        <f t="shared" si="18"/>
        <v>10.9664</v>
      </c>
      <c r="I309" s="27"/>
      <c r="J309" s="222"/>
    </row>
    <row r="310" spans="1:10" s="2" customFormat="1" ht="15" customHeight="1" x14ac:dyDescent="0.25">
      <c r="A310" s="6">
        <v>5200309851876</v>
      </c>
      <c r="B310" s="129" t="str">
        <f t="shared" si="17"/>
        <v>BAYER ΕΛΛΑΣ Α.Β.Ε.Ε.</v>
      </c>
      <c r="C310" s="55" t="str">
        <f>"991"</f>
        <v>991</v>
      </c>
      <c r="D310" s="47" t="str">
        <f>"5200309851876"</f>
        <v>5200309851876</v>
      </c>
      <c r="E310" s="47" t="str">
        <f>"BEPANTHOL LOTION BODY 200ML"</f>
        <v>BEPANTHOL LOTION BODY 200ML</v>
      </c>
      <c r="F310" s="19">
        <v>5.64</v>
      </c>
      <c r="G310" s="48">
        <v>0.08</v>
      </c>
      <c r="H310" s="42">
        <f t="shared" si="18"/>
        <v>5.1887999999999996</v>
      </c>
      <c r="I310" s="47"/>
      <c r="J310" s="224" t="s">
        <v>16</v>
      </c>
    </row>
    <row r="311" spans="1:10" s="2" customFormat="1" ht="15" customHeight="1" thickBot="1" x14ac:dyDescent="0.3">
      <c r="A311" s="15">
        <v>5200309851883</v>
      </c>
      <c r="B311" s="99" t="str">
        <f t="shared" si="17"/>
        <v>BAYER ΕΛΛΑΣ Α.Β.Ε.Ε.</v>
      </c>
      <c r="C311" s="15" t="str">
        <f>"050209"</f>
        <v>050209</v>
      </c>
      <c r="D311" s="16" t="str">
        <f>"5200309851883"</f>
        <v>5200309851883</v>
      </c>
      <c r="E311" s="16" t="str">
        <f>"BEPANTHOL LOTION BODY 400ML"</f>
        <v>BEPANTHOL LOTION BODY 400ML</v>
      </c>
      <c r="F311" s="19">
        <v>9.5</v>
      </c>
      <c r="G311" s="17">
        <v>0.08</v>
      </c>
      <c r="H311" s="32">
        <f t="shared" si="18"/>
        <v>8.74</v>
      </c>
      <c r="I311" s="16"/>
      <c r="J311" s="224"/>
    </row>
    <row r="312" spans="1:10" ht="15" customHeight="1" x14ac:dyDescent="0.25">
      <c r="A312" s="21">
        <v>5200309851821</v>
      </c>
      <c r="B312" s="131" t="str">
        <f t="shared" si="17"/>
        <v>BAYER ΕΛΛΑΣ Α.Β.Ε.Ε.</v>
      </c>
      <c r="C312" s="21" t="str">
        <f>"74545"</f>
        <v>74545</v>
      </c>
      <c r="D312" s="22" t="str">
        <f>"5200309851821"</f>
        <v>5200309851821</v>
      </c>
      <c r="E312" s="22" t="str">
        <f>"BEPANTHOL TATOO INTENS. CARE 50GR"</f>
        <v>BEPANTHOL TATOO INTENS. CARE 50GR</v>
      </c>
      <c r="F312" s="19">
        <v>5.23</v>
      </c>
      <c r="G312" s="24">
        <v>0.08</v>
      </c>
      <c r="H312" s="23">
        <f t="shared" si="18"/>
        <v>4.8116000000000003</v>
      </c>
      <c r="I312" s="22"/>
      <c r="J312" s="230" t="s">
        <v>31</v>
      </c>
    </row>
    <row r="313" spans="1:10" ht="15" customHeight="1" x14ac:dyDescent="0.25">
      <c r="A313" s="25">
        <v>5200309851920</v>
      </c>
      <c r="B313" s="40" t="str">
        <f t="shared" si="17"/>
        <v>BAYER ΕΛΛΑΣ Α.Β.Ε.Ε.</v>
      </c>
      <c r="C313" s="25" t="str">
        <f>"74543"</f>
        <v>74543</v>
      </c>
      <c r="D313" s="18" t="str">
        <f>"5200309851920"</f>
        <v>5200309851920</v>
      </c>
      <c r="E313" s="18" t="str">
        <f>"BEPANTHOL TATOO SUN CREAM SPF50 50ML"</f>
        <v>BEPANTHOL TATOO SUN CREAM SPF50 50ML</v>
      </c>
      <c r="F313" s="19">
        <v>9</v>
      </c>
      <c r="G313" s="20">
        <v>0.08</v>
      </c>
      <c r="H313" s="19">
        <f t="shared" si="18"/>
        <v>8.2799999999999994</v>
      </c>
      <c r="I313" s="18"/>
      <c r="J313" s="231"/>
    </row>
    <row r="314" spans="1:10" ht="15" customHeight="1" thickBot="1" x14ac:dyDescent="0.3">
      <c r="A314" s="26">
        <v>5200309851937</v>
      </c>
      <c r="B314" s="132" t="str">
        <f t="shared" si="17"/>
        <v>BAYER ΕΛΛΑΣ Α.Β.Ε.Ε.</v>
      </c>
      <c r="C314" s="26" t="str">
        <f>"74542"</f>
        <v>74542</v>
      </c>
      <c r="D314" s="27" t="str">
        <f>"5200309851937"</f>
        <v>5200309851937</v>
      </c>
      <c r="E314" s="27" t="str">
        <f>"BEPANTHOL TATOO WASH LIQUID SOAP 200ML"</f>
        <v>BEPANTHOL TATOO WASH LIQUID SOAP 200ML</v>
      </c>
      <c r="F314" s="19">
        <v>7.25</v>
      </c>
      <c r="G314" s="29">
        <v>0.08</v>
      </c>
      <c r="H314" s="28">
        <f t="shared" si="18"/>
        <v>6.67</v>
      </c>
      <c r="I314" s="27"/>
      <c r="J314" s="232"/>
    </row>
    <row r="315" spans="1:10" ht="15" customHeight="1" thickBot="1" x14ac:dyDescent="0.3">
      <c r="A315" s="72">
        <v>5200309851906</v>
      </c>
      <c r="B315" s="85" t="str">
        <f t="shared" si="17"/>
        <v>BAYER ΕΛΛΑΣ Α.Β.Ε.Ε.</v>
      </c>
      <c r="C315" s="72" t="str">
        <f>"99966"</f>
        <v>99966</v>
      </c>
      <c r="D315" s="73" t="str">
        <f>"5200309851906"</f>
        <v>5200309851906</v>
      </c>
      <c r="E315" s="73" t="str">
        <f>"BEPANTHOL ΚΡΕΜΑ ΧΕΡΙΩΝ ΝΕΑ 75ML"</f>
        <v>BEPANTHOL ΚΡΕΜΑ ΧΕΡΙΩΝ ΝΕΑ 75ML</v>
      </c>
      <c r="F315" s="19">
        <v>3.94</v>
      </c>
      <c r="G315" s="75">
        <v>0.08</v>
      </c>
      <c r="H315" s="74">
        <f t="shared" si="18"/>
        <v>3.6248</v>
      </c>
      <c r="I315" s="73"/>
      <c r="J315" s="65" t="s">
        <v>31</v>
      </c>
    </row>
    <row r="316" spans="1:10" s="1" customFormat="1" ht="30" customHeight="1" thickBot="1" x14ac:dyDescent="0.3">
      <c r="A316" s="81">
        <v>5200309851104</v>
      </c>
      <c r="B316" s="141" t="str">
        <f t="shared" si="17"/>
        <v>BAYER ΕΛΛΑΣ Α.Β.Ε.Ε.</v>
      </c>
      <c r="C316" s="81" t="str">
        <f>"0945"</f>
        <v>0945</v>
      </c>
      <c r="D316" s="82" t="str">
        <f>"5200309851104"</f>
        <v>5200309851104</v>
      </c>
      <c r="E316" s="82" t="str">
        <f>"BEPANTHOL SUN LOTION SPF20 200ML"</f>
        <v>BEPANTHOL SUN LOTION SPF20 200ML</v>
      </c>
      <c r="F316" s="19">
        <v>14</v>
      </c>
      <c r="G316" s="83">
        <v>0.3</v>
      </c>
      <c r="H316" s="63">
        <f t="shared" si="18"/>
        <v>9.8000000000000007</v>
      </c>
      <c r="I316" s="82"/>
      <c r="J316" s="84" t="s">
        <v>18</v>
      </c>
    </row>
    <row r="317" spans="1:10" ht="15" customHeight="1" x14ac:dyDescent="0.25">
      <c r="A317" s="25">
        <v>5202888271007</v>
      </c>
      <c r="B317" s="40" t="str">
        <f t="shared" ref="B317:B330" si="19">"FREZYDERM A.B.E.E."</f>
        <v>FREZYDERM A.B.E.E.</v>
      </c>
      <c r="C317" s="21" t="str">
        <f>"053858"</f>
        <v>053858</v>
      </c>
      <c r="D317" s="22" t="str">
        <f>"5202888271007"</f>
        <v>5202888271007</v>
      </c>
      <c r="E317" s="22" t="str">
        <f>"FREZYDERM 24H MOISTURIZING 20+ 50ML"</f>
        <v>FREZYDERM 24H MOISTURIZING 20+ 50ML</v>
      </c>
      <c r="F317" s="19">
        <v>14.09</v>
      </c>
      <c r="G317" s="24">
        <v>0.08</v>
      </c>
      <c r="H317" s="23">
        <f t="shared" si="18"/>
        <v>12.9628</v>
      </c>
      <c r="I317" s="22"/>
      <c r="J317" s="36" t="s">
        <v>55</v>
      </c>
    </row>
    <row r="318" spans="1:10" ht="15" customHeight="1" x14ac:dyDescent="0.25">
      <c r="A318" s="25">
        <v>5202888102936</v>
      </c>
      <c r="B318" s="40" t="str">
        <f t="shared" si="19"/>
        <v>FREZYDERM A.B.E.E.</v>
      </c>
      <c r="C318" s="25" t="str">
        <f>"055236"</f>
        <v>055236</v>
      </c>
      <c r="D318" s="18" t="str">
        <f>"5202888102936"</f>
        <v>5202888102936</v>
      </c>
      <c r="E318" s="18" t="str">
        <f>"FREZYDERM ANTICORT CREAM ALTERNATIVE STEROID EFFECT 50ML"</f>
        <v>FREZYDERM ANTICORT CREAM ALTERNATIVE STEROID EFFECT 50ML</v>
      </c>
      <c r="F318" s="19">
        <v>10.11</v>
      </c>
      <c r="G318" s="20">
        <v>0.08</v>
      </c>
      <c r="H318" s="19">
        <f t="shared" si="18"/>
        <v>9.3011999999999997</v>
      </c>
      <c r="I318" s="18"/>
      <c r="J318" s="34" t="s">
        <v>31</v>
      </c>
    </row>
    <row r="319" spans="1:10" ht="15" customHeight="1" thickBot="1" x14ac:dyDescent="0.3">
      <c r="A319" s="30">
        <v>5202888102882</v>
      </c>
      <c r="B319" s="133" t="str">
        <f t="shared" si="19"/>
        <v>FREZYDERM A.B.E.E.</v>
      </c>
      <c r="C319" s="26" t="str">
        <f>"052581"</f>
        <v>052581</v>
      </c>
      <c r="D319" s="27" t="str">
        <f>"5202888102882"</f>
        <v>5202888102882</v>
      </c>
      <c r="E319" s="27" t="str">
        <f>"FREZYDERM AQUA CARE GEL VAGINAL 50ML PH4.5"</f>
        <v>FREZYDERM AQUA CARE GEL VAGINAL 50ML PH4.5</v>
      </c>
      <c r="F319" s="19">
        <v>8.35</v>
      </c>
      <c r="G319" s="29">
        <v>0.08</v>
      </c>
      <c r="H319" s="28">
        <f t="shared" si="18"/>
        <v>7.6819999999999995</v>
      </c>
      <c r="I319" s="27"/>
      <c r="J319" s="35" t="s">
        <v>31</v>
      </c>
    </row>
    <row r="320" spans="1:10" ht="15" customHeight="1" x14ac:dyDescent="0.25">
      <c r="A320" s="6">
        <v>5202888295010</v>
      </c>
      <c r="B320" s="129" t="str">
        <f t="shared" si="19"/>
        <v>FREZYDERM A.B.E.E.</v>
      </c>
      <c r="C320" s="55" t="str">
        <f>"105745"</f>
        <v>105745</v>
      </c>
      <c r="D320" s="47" t="str">
        <f>"5202888295010"</f>
        <v>5202888295010</v>
      </c>
      <c r="E320" s="47" t="str">
        <f>"FREZYDERM ATOPREL BATH CREAM 300ML"</f>
        <v>FREZYDERM ATOPREL BATH CREAM 300ML</v>
      </c>
      <c r="F320" s="19">
        <v>10.45</v>
      </c>
      <c r="G320" s="48">
        <v>0.08</v>
      </c>
      <c r="H320" s="42">
        <f t="shared" si="18"/>
        <v>9.613999999999999</v>
      </c>
      <c r="I320" s="47"/>
      <c r="J320" s="224" t="s">
        <v>43</v>
      </c>
    </row>
    <row r="321" spans="1:10" ht="15" customHeight="1" x14ac:dyDescent="0.25">
      <c r="A321" s="10">
        <v>5202888295201</v>
      </c>
      <c r="B321" s="39" t="str">
        <f t="shared" si="19"/>
        <v>FREZYDERM A.B.E.E.</v>
      </c>
      <c r="C321" s="10" t="str">
        <f>"104506"</f>
        <v>104506</v>
      </c>
      <c r="D321" s="3" t="str">
        <f>"5202888295201"</f>
        <v>5202888295201</v>
      </c>
      <c r="E321" s="3" t="str">
        <f>"FREZYDERM ATOPREL EMOLLIENT CLASSIC CREAM 200ML"</f>
        <v>FREZYDERM ATOPREL EMOLLIENT CLASSIC CREAM 200ML</v>
      </c>
      <c r="F321" s="19">
        <v>15.23</v>
      </c>
      <c r="G321" s="5">
        <v>0.08</v>
      </c>
      <c r="H321" s="19">
        <f t="shared" si="18"/>
        <v>14.0116</v>
      </c>
      <c r="I321" s="3"/>
      <c r="J321" s="224"/>
    </row>
    <row r="322" spans="1:10" ht="15" customHeight="1" thickBot="1" x14ac:dyDescent="0.3">
      <c r="A322" s="11">
        <v>5202888295027</v>
      </c>
      <c r="B322" s="130" t="str">
        <f t="shared" si="19"/>
        <v>FREZYDERM A.B.E.E.</v>
      </c>
      <c r="C322" s="15" t="str">
        <f>"105746"</f>
        <v>105746</v>
      </c>
      <c r="D322" s="16" t="str">
        <f>"5202888295027"</f>
        <v>5202888295027</v>
      </c>
      <c r="E322" s="16" t="str">
        <f>"FREZYDERM ATOPREL FOAMY SHAMPOO 250ML"</f>
        <v>FREZYDERM ATOPREL FOAMY SHAMPOO 250ML</v>
      </c>
      <c r="F322" s="19">
        <v>9.5</v>
      </c>
      <c r="G322" s="17">
        <v>0.08</v>
      </c>
      <c r="H322" s="32">
        <f t="shared" si="18"/>
        <v>8.74</v>
      </c>
      <c r="I322" s="16"/>
      <c r="J322" s="224"/>
    </row>
    <row r="323" spans="1:10" ht="15" customHeight="1" x14ac:dyDescent="0.25">
      <c r="A323" s="57">
        <v>5202888101137</v>
      </c>
      <c r="B323" s="71" t="str">
        <f t="shared" si="19"/>
        <v>FREZYDERM A.B.E.E.</v>
      </c>
      <c r="C323" s="21" t="str">
        <f>"050342"</f>
        <v>050342</v>
      </c>
      <c r="D323" s="22" t="str">
        <f>"5202888101137"</f>
        <v>5202888101137</v>
      </c>
      <c r="E323" s="22" t="str">
        <f>"FREZYDERM BABY BATH 300ML"</f>
        <v>FREZYDERM BABY BATH 300ML</v>
      </c>
      <c r="F323" s="19">
        <v>8.15</v>
      </c>
      <c r="G323" s="24">
        <v>0.08</v>
      </c>
      <c r="H323" s="23">
        <f t="shared" si="18"/>
        <v>7.4980000000000002</v>
      </c>
      <c r="I323" s="22"/>
      <c r="J323" s="221" t="s">
        <v>16</v>
      </c>
    </row>
    <row r="324" spans="1:10" ht="15" customHeight="1" x14ac:dyDescent="0.25">
      <c r="A324" s="25">
        <v>5202888101120</v>
      </c>
      <c r="B324" s="40" t="str">
        <f t="shared" si="19"/>
        <v>FREZYDERM A.B.E.E.</v>
      </c>
      <c r="C324" s="25" t="str">
        <f>"050563"</f>
        <v>050563</v>
      </c>
      <c r="D324" s="18" t="str">
        <f>"5202888101120"</f>
        <v>5202888101120</v>
      </c>
      <c r="E324" s="18" t="str">
        <f>"FREZYDERM BABY CAMOMILE BATH 200ML"</f>
        <v>FREZYDERM BABY CAMOMILE BATH 200ML</v>
      </c>
      <c r="F324" s="19">
        <v>9.8000000000000007</v>
      </c>
      <c r="G324" s="20">
        <v>0.08</v>
      </c>
      <c r="H324" s="19">
        <f t="shared" si="18"/>
        <v>9.016</v>
      </c>
      <c r="I324" s="18"/>
      <c r="J324" s="218"/>
    </row>
    <row r="325" spans="1:10" ht="15" customHeight="1" x14ac:dyDescent="0.25">
      <c r="A325" s="25">
        <v>5202888224829</v>
      </c>
      <c r="B325" s="40" t="str">
        <f t="shared" si="19"/>
        <v>FREZYDERM A.B.E.E.</v>
      </c>
      <c r="C325" s="25" t="str">
        <f>"01411"</f>
        <v>01411</v>
      </c>
      <c r="D325" s="18" t="str">
        <f>"5202888224829"</f>
        <v>5202888224829</v>
      </c>
      <c r="E325" s="18" t="str">
        <f>"FREZYDERM BABY CREAM 175ML CHAMOMILE OIL PANTOTHENOL &amp; ZINC OXIDE"</f>
        <v>FREZYDERM BABY CREAM 175ML CHAMOMILE OIL PANTOTHENOL &amp; ZINC OXIDE</v>
      </c>
      <c r="F325" s="19">
        <v>9.5500000000000007</v>
      </c>
      <c r="G325" s="20">
        <v>0.08</v>
      </c>
      <c r="H325" s="19">
        <f t="shared" si="18"/>
        <v>8.7860000000000014</v>
      </c>
      <c r="I325" s="18"/>
      <c r="J325" s="218"/>
    </row>
    <row r="326" spans="1:10" ht="15" customHeight="1" x14ac:dyDescent="0.25">
      <c r="A326" s="25">
        <v>5202888221248</v>
      </c>
      <c r="B326" s="40" t="str">
        <f t="shared" si="19"/>
        <v>FREZYDERM A.B.E.E.</v>
      </c>
      <c r="C326" s="25" t="str">
        <f>"01413"</f>
        <v>01413</v>
      </c>
      <c r="D326" s="18" t="str">
        <f>"5202888221248"</f>
        <v>5202888221248</v>
      </c>
      <c r="E326" s="18" t="str">
        <f>"FREZYDERM BABY SHAMPOO 300ML"</f>
        <v>FREZYDERM BABY SHAMPOO 300ML</v>
      </c>
      <c r="F326" s="19">
        <v>8.35</v>
      </c>
      <c r="G326" s="20">
        <v>0.08</v>
      </c>
      <c r="H326" s="19">
        <f t="shared" si="18"/>
        <v>7.6819999999999995</v>
      </c>
      <c r="I326" s="18"/>
      <c r="J326" s="218"/>
    </row>
    <row r="327" spans="1:10" ht="15" customHeight="1" thickBot="1" x14ac:dyDescent="0.3">
      <c r="A327" s="30">
        <v>5202888221262</v>
      </c>
      <c r="B327" s="133" t="str">
        <f t="shared" si="19"/>
        <v>FREZYDERM A.B.E.E.</v>
      </c>
      <c r="C327" s="26" t="str">
        <f>"052153"</f>
        <v>052153</v>
      </c>
      <c r="D327" s="27" t="str">
        <f>"5202888221262"</f>
        <v>5202888221262</v>
      </c>
      <c r="E327" s="27" t="str">
        <f>"FREZYDERM BABY SUNCARE SPF25 100ML"</f>
        <v>FREZYDERM BABY SUNCARE SPF25 100ML</v>
      </c>
      <c r="F327" s="19">
        <v>12.23</v>
      </c>
      <c r="G327" s="29">
        <v>0.08</v>
      </c>
      <c r="H327" s="28">
        <f t="shared" si="18"/>
        <v>11.2516</v>
      </c>
      <c r="I327" s="27"/>
      <c r="J327" s="222"/>
    </row>
    <row r="328" spans="1:10" ht="15" customHeight="1" x14ac:dyDescent="0.25">
      <c r="A328" s="6">
        <v>5202888100093</v>
      </c>
      <c r="B328" s="129" t="str">
        <f t="shared" si="19"/>
        <v>FREZYDERM A.B.E.E.</v>
      </c>
      <c r="C328" s="55" t="str">
        <f>"3362"</f>
        <v>3362</v>
      </c>
      <c r="D328" s="47" t="str">
        <f>"5202888100093"</f>
        <v>5202888100093</v>
      </c>
      <c r="E328" s="47" t="str">
        <f>"FREZYDERM INTIM AREA FOAM 150ML PH4"</f>
        <v>FREZYDERM INTIM AREA FOAM 150ML PH4</v>
      </c>
      <c r="F328" s="19">
        <v>11.9</v>
      </c>
      <c r="G328" s="48">
        <v>0.08</v>
      </c>
      <c r="H328" s="42">
        <f t="shared" si="18"/>
        <v>10.948</v>
      </c>
      <c r="I328" s="47"/>
      <c r="J328" s="224" t="s">
        <v>31</v>
      </c>
    </row>
    <row r="329" spans="1:10" ht="15" customHeight="1" x14ac:dyDescent="0.25">
      <c r="A329" s="10">
        <v>5202888227110</v>
      </c>
      <c r="B329" s="39" t="str">
        <f t="shared" si="19"/>
        <v>FREZYDERM A.B.E.E.</v>
      </c>
      <c r="C329" s="10" t="str">
        <f>"17043"</f>
        <v>17043</v>
      </c>
      <c r="D329" s="3" t="str">
        <f>"5202888227110"</f>
        <v>5202888227110</v>
      </c>
      <c r="E329" s="3" t="str">
        <f>"FREZYDERM INTIM AREA LIQUID PH 4.0 200ML"</f>
        <v>FREZYDERM INTIM AREA LIQUID PH 4.0 200ML</v>
      </c>
      <c r="F329" s="19">
        <v>9.24</v>
      </c>
      <c r="G329" s="5">
        <v>0.08</v>
      </c>
      <c r="H329" s="19">
        <f t="shared" si="18"/>
        <v>8.5007999999999999</v>
      </c>
      <c r="I329" s="3"/>
      <c r="J329" s="224"/>
    </row>
    <row r="330" spans="1:10" ht="15" customHeight="1" thickBot="1" x14ac:dyDescent="0.3">
      <c r="A330" s="11">
        <v>5202888106194</v>
      </c>
      <c r="B330" s="130" t="str">
        <f t="shared" si="19"/>
        <v>FREZYDERM A.B.E.E.</v>
      </c>
      <c r="C330" s="15" t="str">
        <f>"89385"</f>
        <v>89385</v>
      </c>
      <c r="D330" s="16" t="str">
        <f>"5202888106194"</f>
        <v>5202888106194</v>
      </c>
      <c r="E330" s="16" t="str">
        <f>"FREZYDERM INTIMEO 325MG 14CAPS"</f>
        <v>FREZYDERM INTIMEO 325MG 14CAPS</v>
      </c>
      <c r="F330" s="19">
        <v>12.55</v>
      </c>
      <c r="G330" s="17">
        <v>0.08</v>
      </c>
      <c r="H330" s="32">
        <f t="shared" si="18"/>
        <v>11.546000000000001</v>
      </c>
      <c r="I330" s="16"/>
      <c r="J330" s="224"/>
    </row>
    <row r="331" spans="1:10" s="1" customFormat="1" ht="30.75" thickBot="1" x14ac:dyDescent="0.3">
      <c r="A331" s="110">
        <v>5420013500062</v>
      </c>
      <c r="B331" s="145" t="str">
        <f>"OLVOS SCIENCE AE."</f>
        <v>OLVOS SCIENCE AE.</v>
      </c>
      <c r="C331" s="76" t="str">
        <f>"05031"</f>
        <v>05031</v>
      </c>
      <c r="D331" s="77" t="str">
        <f>"5420013500062"</f>
        <v>5420013500062</v>
      </c>
      <c r="E331" s="77" t="str">
        <f>"FLAMIGEL 50G TUBE"</f>
        <v>FLAMIGEL 50G TUBE</v>
      </c>
      <c r="F331" s="19">
        <v>7.36</v>
      </c>
      <c r="G331" s="78">
        <v>0.05</v>
      </c>
      <c r="H331" s="63">
        <f t="shared" si="18"/>
        <v>6.992</v>
      </c>
      <c r="I331" s="77"/>
      <c r="J331" s="79" t="s">
        <v>82</v>
      </c>
    </row>
    <row r="332" spans="1:10" ht="15.75" thickBot="1" x14ac:dyDescent="0.3">
      <c r="A332" s="30">
        <v>5201279088941</v>
      </c>
      <c r="B332" s="133" t="str">
        <f>"APIVITA A.E."</f>
        <v>APIVITA A.E.</v>
      </c>
      <c r="C332" s="72" t="str">
        <f>"12444"</f>
        <v>12444</v>
      </c>
      <c r="D332" s="73" t="str">
        <f>"5201279088941"</f>
        <v>5201279088941</v>
      </c>
      <c r="E332" s="73" t="str">
        <f>"APIVITA ARNICA GEL 40ML"</f>
        <v>APIVITA ARNICA GEL 40ML</v>
      </c>
      <c r="F332" s="19">
        <v>5.0999999999999996</v>
      </c>
      <c r="G332" s="75">
        <v>7.0000000000000007E-2</v>
      </c>
      <c r="H332" s="74">
        <f t="shared" si="18"/>
        <v>4.7429999999999994</v>
      </c>
      <c r="I332" s="73"/>
      <c r="J332" s="108" t="s">
        <v>24</v>
      </c>
    </row>
    <row r="333" spans="1:10" ht="15" customHeight="1" x14ac:dyDescent="0.25">
      <c r="A333" s="6">
        <v>5200138630031</v>
      </c>
      <c r="B333" s="129" t="str">
        <f>"VIVAX ΦΑΡΜΑΚΕΥΤΙΚΗ ΕΠΕ"</f>
        <v>VIVAX ΦΑΡΜΑΚΕΥΤΙΚΗ ΕΠΕ</v>
      </c>
      <c r="C333" s="6" t="str">
        <f>"55725"</f>
        <v>55725</v>
      </c>
      <c r="D333" s="7" t="str">
        <f>"5200138630031"</f>
        <v>5200138630031</v>
      </c>
      <c r="E333" s="7" t="str">
        <f>"ARNICA CRACKLING FOAM 150ML VIVAX"</f>
        <v>ARNICA CRACKLING FOAM 150ML VIVAX</v>
      </c>
      <c r="F333" s="19">
        <v>6</v>
      </c>
      <c r="G333" s="9">
        <v>0.2</v>
      </c>
      <c r="H333" s="23">
        <f t="shared" si="18"/>
        <v>4.8</v>
      </c>
      <c r="I333" s="7"/>
      <c r="J333" s="219" t="s">
        <v>33</v>
      </c>
    </row>
    <row r="334" spans="1:10" ht="15" customHeight="1" x14ac:dyDescent="0.25">
      <c r="A334" s="10">
        <v>5200138630024</v>
      </c>
      <c r="B334" s="39" t="str">
        <f>"VIVAX ΦΑΡΜΑΚΕΥΤΙΚΗ ΕΠΕ"</f>
        <v>VIVAX ΦΑΡΜΑΚΕΥΤΙΚΗ ΕΠΕ</v>
      </c>
      <c r="C334" s="10" t="str">
        <f>"55706"</f>
        <v>55706</v>
      </c>
      <c r="D334" s="3" t="str">
        <f>"5200138630024"</f>
        <v>5200138630024</v>
      </c>
      <c r="E334" s="3" t="str">
        <f>"ARNICA CREME 75ML VIVAX"</f>
        <v>ARNICA CREME 75ML VIVAX</v>
      </c>
      <c r="F334" s="19">
        <v>6.45</v>
      </c>
      <c r="G334" s="5">
        <v>0.2</v>
      </c>
      <c r="H334" s="19">
        <f t="shared" si="18"/>
        <v>5.16</v>
      </c>
      <c r="I334" s="3"/>
      <c r="J334" s="224"/>
    </row>
    <row r="335" spans="1:10" ht="15" customHeight="1" thickBot="1" x14ac:dyDescent="0.3">
      <c r="A335" s="11">
        <v>8017990166182</v>
      </c>
      <c r="B335" s="130" t="str">
        <f>"VIVAX ΦΑΡΜΑΚΕΥΤΙΚΗ ΕΠΕ"</f>
        <v>VIVAX ΦΑΡΜΑΚΕΥΤΙΚΗ ΕΠΕ</v>
      </c>
      <c r="C335" s="11" t="str">
        <f>"55707"</f>
        <v>55707</v>
      </c>
      <c r="D335" s="12" t="str">
        <f>"8017990166182"</f>
        <v>8017990166182</v>
      </c>
      <c r="E335" s="12" t="str">
        <f>"ARNICA PATCHES 9X14 5TEM VIVAX"</f>
        <v>ARNICA PATCHES 9X14 5TEM VIVAX</v>
      </c>
      <c r="F335" s="19">
        <v>5</v>
      </c>
      <c r="G335" s="14">
        <v>0.2</v>
      </c>
      <c r="H335" s="28">
        <f t="shared" si="18"/>
        <v>4</v>
      </c>
      <c r="I335" s="12"/>
      <c r="J335" s="220"/>
    </row>
    <row r="336" spans="1:10" x14ac:dyDescent="0.25">
      <c r="A336" s="21">
        <v>5200107621091</v>
      </c>
      <c r="B336" s="131" t="str">
        <f>"ERGOPHARM IMPROVES NATURE"</f>
        <v>ERGOPHARM IMPROVES NATURE</v>
      </c>
      <c r="C336" s="57" t="str">
        <f>"52425"</f>
        <v>52425</v>
      </c>
      <c r="D336" s="41" t="str">
        <f>"5200107621091"</f>
        <v>5200107621091</v>
      </c>
      <c r="E336" s="41" t="str">
        <f>"ALGOFEEL UREA 8% CREME 125ML"</f>
        <v>ALGOFEEL UREA 8% CREME 125ML</v>
      </c>
      <c r="F336" s="19">
        <v>4.9000000000000004</v>
      </c>
      <c r="G336" s="43">
        <v>0.1</v>
      </c>
      <c r="H336" s="42">
        <f t="shared" si="18"/>
        <v>4.41</v>
      </c>
      <c r="I336" s="41"/>
      <c r="J336" s="58" t="s">
        <v>9</v>
      </c>
    </row>
    <row r="337" spans="1:10" x14ac:dyDescent="0.25">
      <c r="A337" s="25">
        <v>5200107621114</v>
      </c>
      <c r="B337" s="40" t="str">
        <f>"ERGOPHARM IMPROVES NATURE"</f>
        <v>ERGOPHARM IMPROVES NATURE</v>
      </c>
      <c r="C337" s="25" t="str">
        <f>"34959"</f>
        <v>34959</v>
      </c>
      <c r="D337" s="18" t="str">
        <f>"5200107621114"</f>
        <v>5200107621114</v>
      </c>
      <c r="E337" s="18" t="str">
        <f>"ALGOFLOGEN CREAM 100ML"</f>
        <v>ALGOFLOGEN CREAM 100ML</v>
      </c>
      <c r="F337" s="19">
        <v>5.4</v>
      </c>
      <c r="G337" s="20">
        <v>0.1</v>
      </c>
      <c r="H337" s="19">
        <f t="shared" si="18"/>
        <v>4.8600000000000003</v>
      </c>
      <c r="I337" s="18"/>
      <c r="J337" s="241" t="s">
        <v>9</v>
      </c>
    </row>
    <row r="338" spans="1:10" x14ac:dyDescent="0.25">
      <c r="A338" s="25">
        <v>5200107621138</v>
      </c>
      <c r="B338" s="40" t="str">
        <f>"ERGOPHARM IMPROVES NATURE"</f>
        <v>ERGOPHARM IMPROVES NATURE</v>
      </c>
      <c r="C338" s="25" t="str">
        <f>"52800"</f>
        <v>52800</v>
      </c>
      <c r="D338" s="18" t="str">
        <f>"5200107621138"</f>
        <v>5200107621138</v>
      </c>
      <c r="E338" s="18" t="str">
        <f>"ALGOFLOGEN CREAM 200ML MEGA"</f>
        <v>ALGOFLOGEN CREAM 200ML MEGA</v>
      </c>
      <c r="F338" s="19">
        <v>7.2</v>
      </c>
      <c r="G338" s="20">
        <v>0.1</v>
      </c>
      <c r="H338" s="19">
        <f t="shared" si="18"/>
        <v>6.48</v>
      </c>
      <c r="I338" s="18"/>
      <c r="J338" s="242"/>
    </row>
    <row r="339" spans="1:10" x14ac:dyDescent="0.25">
      <c r="A339" s="25">
        <v>5200107625556</v>
      </c>
      <c r="B339" s="40" t="str">
        <f>"ERGOPHARM IMPROVES NATURE"</f>
        <v>ERGOPHARM IMPROVES NATURE</v>
      </c>
      <c r="C339" s="25" t="str">
        <f>"27179"</f>
        <v>27179</v>
      </c>
      <c r="D339" s="18" t="str">
        <f>"5200107625556"</f>
        <v>5200107625556</v>
      </c>
      <c r="E339" s="18" t="str">
        <f>"FLOGODERM CAPSICUM CREAM 125ML"</f>
        <v>FLOGODERM CAPSICUM CREAM 125ML</v>
      </c>
      <c r="F339" s="19">
        <v>5.4</v>
      </c>
      <c r="G339" s="20">
        <v>0.1</v>
      </c>
      <c r="H339" s="19">
        <f t="shared" si="18"/>
        <v>4.8600000000000003</v>
      </c>
      <c r="I339" s="18"/>
      <c r="J339" s="34" t="s">
        <v>9</v>
      </c>
    </row>
    <row r="340" spans="1:10" ht="15.75" thickBot="1" x14ac:dyDescent="0.3">
      <c r="A340" s="26">
        <v>5200107621015</v>
      </c>
      <c r="B340" s="132" t="str">
        <f>"ERGOPHARM IMPROVES NATURE"</f>
        <v>ERGOPHARM IMPROVES NATURE</v>
      </c>
      <c r="C340" s="30" t="str">
        <f>"29940"</f>
        <v>29940</v>
      </c>
      <c r="D340" s="31" t="str">
        <f>"5200107621015"</f>
        <v>5200107621015</v>
      </c>
      <c r="E340" s="31" t="str">
        <f>"LEGS COOL GEL 150ML"</f>
        <v>LEGS COOL GEL 150ML</v>
      </c>
      <c r="F340" s="19">
        <v>5.2</v>
      </c>
      <c r="G340" s="33">
        <v>0.1</v>
      </c>
      <c r="H340" s="32">
        <f t="shared" si="18"/>
        <v>4.68</v>
      </c>
      <c r="I340" s="31"/>
      <c r="J340" s="56" t="s">
        <v>62</v>
      </c>
    </row>
    <row r="341" spans="1:10" ht="15" customHeight="1" x14ac:dyDescent="0.25">
      <c r="A341" s="57">
        <v>710535440768</v>
      </c>
      <c r="B341" s="71" t="str">
        <f>"UNILOG.A.E"</f>
        <v>UNILOG.A.E</v>
      </c>
      <c r="C341" s="21" t="str">
        <f>"71546"</f>
        <v>71546</v>
      </c>
      <c r="D341" s="22" t="str">
        <f>"0710535440768"</f>
        <v>0710535440768</v>
      </c>
      <c r="E341" s="22" t="str">
        <f>"PREVEIN GEL 30GR"</f>
        <v>PREVEIN GEL 30GR</v>
      </c>
      <c r="F341" s="19">
        <v>8.3000000000000007</v>
      </c>
      <c r="G341" s="24">
        <v>0.03</v>
      </c>
      <c r="H341" s="23">
        <f t="shared" si="18"/>
        <v>8.0510000000000002</v>
      </c>
      <c r="I341" s="22"/>
      <c r="J341" s="36" t="s">
        <v>10</v>
      </c>
    </row>
    <row r="342" spans="1:10" x14ac:dyDescent="0.25">
      <c r="A342" s="25">
        <v>4005833409132</v>
      </c>
      <c r="B342" s="40" t="str">
        <f>"EUROMED ΙΑΤΡΙΚΑ &amp; ΑΝΑΛΩΣΙΜΑ ΑΕ"</f>
        <v>EUROMED ΙΑΤΡΙΚΑ &amp; ΑΝΑΛΩΣΙΜΑ ΑΕ</v>
      </c>
      <c r="C342" s="25" t="str">
        <f>"053897"</f>
        <v>053897</v>
      </c>
      <c r="D342" s="18" t="str">
        <f>"4005833409132"</f>
        <v>4005833409132</v>
      </c>
      <c r="E342" s="18" t="str">
        <f>"SPORT-GEL 100ML ΨΥΧΡΗ ΓΕΛΗ ΑΝΑΚΟΥΦΙΣΗΣ"</f>
        <v>SPORT-GEL 100ML ΨΥΧΡΗ ΓΕΛΗ ΑΝΑΚΟΥΦΙΣΗΣ</v>
      </c>
      <c r="F342" s="19">
        <v>7.19</v>
      </c>
      <c r="G342" s="20">
        <v>0.05</v>
      </c>
      <c r="H342" s="19">
        <f t="shared" si="18"/>
        <v>6.8305000000000007</v>
      </c>
      <c r="I342" s="18"/>
      <c r="J342" s="34" t="s">
        <v>70</v>
      </c>
    </row>
    <row r="343" spans="1:10" x14ac:dyDescent="0.25">
      <c r="A343" s="25">
        <v>5206977000097</v>
      </c>
      <c r="B343" s="40" t="str">
        <f>"EUROMED ΙΑΤΡΙΚΑ &amp; ΑΝΑΛΩΣΙΜΑ ΑΕ"</f>
        <v>EUROMED ΙΑΤΡΙΚΑ &amp; ΑΝΑΛΩΣΙΜΑ ΑΕ</v>
      </c>
      <c r="C343" s="25" t="str">
        <f>"04596"</f>
        <v>04596</v>
      </c>
      <c r="D343" s="18" t="str">
        <f>"5206977000097"</f>
        <v>5206977000097</v>
      </c>
      <c r="E343" s="18" t="str">
        <f>"VENEN BALSAM 100ML LEGS VEINS"</f>
        <v>VENEN BALSAM 100ML LEGS VEINS</v>
      </c>
      <c r="F343" s="19">
        <v>7.19</v>
      </c>
      <c r="G343" s="20">
        <v>0.05</v>
      </c>
      <c r="H343" s="19">
        <f t="shared" si="18"/>
        <v>6.8305000000000007</v>
      </c>
      <c r="I343" s="18"/>
      <c r="J343" s="34" t="s">
        <v>30</v>
      </c>
    </row>
    <row r="344" spans="1:10" x14ac:dyDescent="0.25">
      <c r="A344" s="25">
        <v>8050538121113</v>
      </c>
      <c r="B344" s="40" t="str">
        <f>"KARIAN ΦΑΡΜΑΚΕΥΤΙΚΗ ΜΟΝ. Ι.Κ.Ε."</f>
        <v>KARIAN ΦΑΡΜΑΚΕΥΤΙΚΗ ΜΟΝ. Ι.Κ.Ε.</v>
      </c>
      <c r="C344" s="25" t="str">
        <f>"80445"</f>
        <v>80445</v>
      </c>
      <c r="D344" s="18" t="str">
        <f>"8050538121113"</f>
        <v>8050538121113</v>
      </c>
      <c r="E344" s="18" t="str">
        <f>"NEUROFISIODOL EMULGEL EBAGIL 100ML"</f>
        <v>NEUROFISIODOL EMULGEL EBAGIL 100ML</v>
      </c>
      <c r="F344" s="19">
        <v>9.8000000000000007</v>
      </c>
      <c r="G344" s="20">
        <v>0.25</v>
      </c>
      <c r="H344" s="19">
        <f t="shared" si="18"/>
        <v>7.3500000000000005</v>
      </c>
      <c r="I344" s="18"/>
      <c r="J344" s="34" t="s">
        <v>34</v>
      </c>
    </row>
    <row r="345" spans="1:10" ht="30.75" thickBot="1" x14ac:dyDescent="0.3">
      <c r="A345" s="111">
        <v>5205411008828</v>
      </c>
      <c r="B345" s="146" t="str">
        <f>"DEMO  ABEE"</f>
        <v>DEMO  ABEE</v>
      </c>
      <c r="C345" s="170" t="str">
        <f>"44339"</f>
        <v>44339</v>
      </c>
      <c r="D345" s="171" t="str">
        <f>"5205411008828"</f>
        <v>5205411008828</v>
      </c>
      <c r="E345" s="171" t="str">
        <f>"BIOSILVER SPRAY -CAPRIATI 125ML ΕΠΟΥΛΩΤΙΚΟ SPRAY"</f>
        <v>BIOSILVER SPRAY -CAPRIATI 125ML ΕΠΟΥΛΩΤΙΚΟ SPRAY</v>
      </c>
      <c r="F345" s="19">
        <v>10.24</v>
      </c>
      <c r="G345" s="172">
        <v>0.1</v>
      </c>
      <c r="H345" s="28">
        <f t="shared" si="18"/>
        <v>9.2160000000000011</v>
      </c>
      <c r="I345" s="171"/>
      <c r="J345" s="102" t="s">
        <v>13</v>
      </c>
    </row>
    <row r="346" spans="1:10" s="1" customFormat="1" x14ac:dyDescent="0.25">
      <c r="A346" s="97">
        <v>405496535503</v>
      </c>
      <c r="B346" s="147" t="str">
        <f>"PARAPHARM INTERNATIONAL  A.E"</f>
        <v>PARAPHARM INTERNATIONAL  A.E</v>
      </c>
      <c r="C346" s="109" t="str">
        <f>"425"</f>
        <v>425</v>
      </c>
      <c r="D346" s="91" t="s">
        <v>193</v>
      </c>
      <c r="E346" s="91" t="str">
        <f>"COLD-HOT COMFORT 26CMx11CM"</f>
        <v>COLD-HOT COMFORT 26CMx11CM</v>
      </c>
      <c r="F346" s="19">
        <v>8.59</v>
      </c>
      <c r="G346" s="92">
        <v>0.1</v>
      </c>
      <c r="H346" s="42">
        <f t="shared" si="18"/>
        <v>7.7309999999999999</v>
      </c>
      <c r="I346" s="91"/>
      <c r="J346" s="226" t="s">
        <v>14</v>
      </c>
    </row>
    <row r="347" spans="1:10" x14ac:dyDescent="0.25">
      <c r="A347" s="10">
        <v>5902658066191</v>
      </c>
      <c r="B347" s="39" t="str">
        <f>"PARAPHARM INTERNATIONAL  A.E"</f>
        <v>PARAPHARM INTERNATIONAL  A.E</v>
      </c>
      <c r="C347" s="10" t="str">
        <f>"82305"</f>
        <v>82305</v>
      </c>
      <c r="D347" s="3" t="str">
        <f>"5902658066191"</f>
        <v>5902658066191</v>
      </c>
      <c r="E347" s="3" t="str">
        <f>"COLD-HOT FLEXIBLE 11Χ23,5CM 1TEM"</f>
        <v>COLD-HOT FLEXIBLE 11Χ23,5CM 1TEM</v>
      </c>
      <c r="F347" s="19">
        <v>10.61</v>
      </c>
      <c r="G347" s="5">
        <v>0.1</v>
      </c>
      <c r="H347" s="19">
        <f t="shared" si="18"/>
        <v>9.5489999999999995</v>
      </c>
      <c r="I347" s="3"/>
      <c r="J347" s="226"/>
    </row>
    <row r="348" spans="1:10" x14ac:dyDescent="0.25">
      <c r="A348" s="10">
        <v>5902658066160</v>
      </c>
      <c r="B348" s="39" t="str">
        <f>"PARAPHARM INTERNATIONAL  A.E"</f>
        <v>PARAPHARM INTERNATIONAL  A.E</v>
      </c>
      <c r="C348" s="10" t="str">
        <f>"2231"</f>
        <v>2231</v>
      </c>
      <c r="D348" s="3" t="str">
        <f>"5902658066160"</f>
        <v>5902658066160</v>
      </c>
      <c r="E348" s="3" t="str">
        <f>"COLD-HOT MAXI 19,5CMx30CM"</f>
        <v>COLD-HOT MAXI 19,5CMx30CM</v>
      </c>
      <c r="F348" s="19">
        <v>12.52</v>
      </c>
      <c r="G348" s="5">
        <v>0.1</v>
      </c>
      <c r="H348" s="19">
        <f t="shared" si="18"/>
        <v>11.267999999999999</v>
      </c>
      <c r="I348" s="3"/>
      <c r="J348" s="226"/>
    </row>
    <row r="349" spans="1:10" x14ac:dyDescent="0.25">
      <c r="A349" s="10">
        <v>5902658066092</v>
      </c>
      <c r="B349" s="39" t="str">
        <f>"PARAPHARM INTERNATIONAL  A.E"</f>
        <v>PARAPHARM INTERNATIONAL  A.E</v>
      </c>
      <c r="C349" s="10" t="str">
        <f>"440"</f>
        <v>440</v>
      </c>
      <c r="D349" s="3" t="str">
        <f>"5902658066092"</f>
        <v>5902658066092</v>
      </c>
      <c r="E349" s="3" t="str">
        <f>"COLD-HOT MINI 11CMx12CM"</f>
        <v>COLD-HOT MINI 11CMx12CM</v>
      </c>
      <c r="F349" s="19">
        <v>6.12</v>
      </c>
      <c r="G349" s="5">
        <v>0.1</v>
      </c>
      <c r="H349" s="19">
        <f t="shared" si="18"/>
        <v>5.508</v>
      </c>
      <c r="I349" s="3"/>
      <c r="J349" s="226"/>
    </row>
    <row r="350" spans="1:10" ht="15.75" thickBot="1" x14ac:dyDescent="0.3">
      <c r="A350" s="11">
        <v>8470002492103</v>
      </c>
      <c r="B350" s="130" t="str">
        <f>"PARAPHARM INTERNATIONAL  A.E"</f>
        <v>PARAPHARM INTERNATIONAL  A.E</v>
      </c>
      <c r="C350" s="15" t="str">
        <f>"25613"</f>
        <v>25613</v>
      </c>
      <c r="D350" s="16" t="str">
        <f>"8470002492103"</f>
        <v>8470002492103</v>
      </c>
      <c r="E350" s="16" t="str">
        <f>"COLD-HOT SPRAY ΨΥΚΤΙΚΟ 150ML"</f>
        <v>COLD-HOT SPRAY ΨΥΚΤΙΚΟ 150ML</v>
      </c>
      <c r="F350" s="19">
        <v>2.91</v>
      </c>
      <c r="G350" s="17">
        <v>0.1</v>
      </c>
      <c r="H350" s="32">
        <f t="shared" si="18"/>
        <v>2.6190000000000002</v>
      </c>
      <c r="I350" s="16"/>
      <c r="J350" s="226"/>
    </row>
    <row r="351" spans="1:10" x14ac:dyDescent="0.25">
      <c r="A351" s="57">
        <v>5200525801112</v>
      </c>
      <c r="B351" s="71" t="str">
        <f>"STOPAIN ΠΗΤΤΑΣ Ν. KAI ΣΙΑ Ε.Ε."</f>
        <v>STOPAIN ΠΗΤΤΑΣ Ν. KAI ΣΙΑ Ε.Ε.</v>
      </c>
      <c r="C351" s="21" t="str">
        <f>"052580"</f>
        <v>052580</v>
      </c>
      <c r="D351" s="22" t="str">
        <f>"5200525801112"</f>
        <v>5200525801112</v>
      </c>
      <c r="E351" s="22" t="str">
        <f>"POLAR ICE GEL 227GR"</f>
        <v>POLAR ICE GEL 227GR</v>
      </c>
      <c r="F351" s="19">
        <v>6.3</v>
      </c>
      <c r="G351" s="24">
        <v>0.1</v>
      </c>
      <c r="H351" s="23">
        <f t="shared" si="18"/>
        <v>5.67</v>
      </c>
      <c r="I351" s="22"/>
      <c r="J351" s="36" t="s">
        <v>9</v>
      </c>
    </row>
    <row r="352" spans="1:10" ht="30" x14ac:dyDescent="0.25">
      <c r="A352" s="110">
        <v>5213001490717</v>
      </c>
      <c r="B352" s="145" t="str">
        <f>"ΝΕΣΤΟΡΑΣ ΒΛΑΧΟΣ Ι.Κ.Ε. - EPSILON HEALTH"</f>
        <v>ΝΕΣΤΟΡΑΣ ΒΛΑΧΟΣ Ι.Κ.Ε. - EPSILON HEALTH</v>
      </c>
      <c r="C352" s="110" t="str">
        <f>"05423"</f>
        <v>05423</v>
      </c>
      <c r="D352" s="37" t="str">
        <f>"5213001490717"</f>
        <v>5213001490717</v>
      </c>
      <c r="E352" s="37" t="str">
        <f>"SILBEN NANO REPAIR POWDER SPRAY 125ML"</f>
        <v>SILBEN NANO REPAIR POWDER SPRAY 125ML</v>
      </c>
      <c r="F352" s="19">
        <v>8.1999999999999993</v>
      </c>
      <c r="G352" s="38">
        <v>0.04</v>
      </c>
      <c r="H352" s="19">
        <f t="shared" si="18"/>
        <v>7.871999999999999</v>
      </c>
      <c r="I352" s="37"/>
      <c r="J352" s="101" t="s">
        <v>22</v>
      </c>
    </row>
    <row r="353" spans="1:10" ht="30" customHeight="1" thickBot="1" x14ac:dyDescent="0.3">
      <c r="A353" s="111">
        <v>8050762830201</v>
      </c>
      <c r="B353" s="146" t="str">
        <f>"WINMEDICA ΦΑΡΜΑΚΕΥΤΙΚΗ AE"</f>
        <v>WINMEDICA ΦΑΡΜΑΚΕΥΤΙΚΗ AE</v>
      </c>
      <c r="C353" s="170" t="str">
        <f>"13039"</f>
        <v>13039</v>
      </c>
      <c r="D353" s="171" t="str">
        <f>"8050762830201"</f>
        <v>8050762830201</v>
      </c>
      <c r="E353" s="171" t="str">
        <f>"SOFARGEN SPRAY 125ML"</f>
        <v>SOFARGEN SPRAY 125ML</v>
      </c>
      <c r="F353" s="19">
        <v>7.5</v>
      </c>
      <c r="G353" s="172">
        <v>0.04</v>
      </c>
      <c r="H353" s="28">
        <f t="shared" si="18"/>
        <v>7.2</v>
      </c>
      <c r="I353" s="171"/>
      <c r="J353" s="102" t="s">
        <v>23</v>
      </c>
    </row>
    <row r="354" spans="1:10" ht="15" customHeight="1" x14ac:dyDescent="0.25">
      <c r="A354" s="6">
        <v>5200309852064</v>
      </c>
      <c r="B354" s="129" t="str">
        <f>"BAYER ΕΛΛΑΣ Α.Β.Ε.Ε."</f>
        <v>BAYER ΕΛΛΑΣ Α.Β.Ε.Ε.</v>
      </c>
      <c r="C354" s="55" t="s">
        <v>196</v>
      </c>
      <c r="D354" s="47" t="s">
        <v>197</v>
      </c>
      <c r="E354" s="47" t="s">
        <v>198</v>
      </c>
      <c r="F354" s="19">
        <v>10.02</v>
      </c>
      <c r="G354" s="48">
        <v>0.08</v>
      </c>
      <c r="H354" s="42">
        <f t="shared" si="18"/>
        <v>9.218399999999999</v>
      </c>
      <c r="I354" s="47"/>
      <c r="J354" s="234" t="s">
        <v>31</v>
      </c>
    </row>
    <row r="355" spans="1:10" ht="15" customHeight="1" x14ac:dyDescent="0.25">
      <c r="A355" s="10">
        <v>5200309852071</v>
      </c>
      <c r="B355" s="39" t="str">
        <f>"BAYER ΕΛΛΑΣ Α.Β.Ε.Ε."</f>
        <v>BAYER ΕΛΛΑΣ Α.Β.Ε.Ε.</v>
      </c>
      <c r="C355" s="10" t="str">
        <f>"080707"</f>
        <v>080707</v>
      </c>
      <c r="D355" s="3" t="str">
        <f>"5200309852071"</f>
        <v>5200309852071</v>
      </c>
      <c r="E355" s="3" t="str">
        <f>"PRIORIN EXTRA 60 CAPS"</f>
        <v>PRIORIN EXTRA 60 CAPS</v>
      </c>
      <c r="F355" s="19">
        <v>22.07</v>
      </c>
      <c r="G355" s="5">
        <v>0.08</v>
      </c>
      <c r="H355" s="19">
        <f t="shared" ref="H355:H418" si="20">F355-F355*G355</f>
        <v>20.304400000000001</v>
      </c>
      <c r="I355" s="3"/>
      <c r="J355" s="243"/>
    </row>
    <row r="356" spans="1:10" ht="15" customHeight="1" x14ac:dyDescent="0.25">
      <c r="A356" s="10">
        <v>5200309852156</v>
      </c>
      <c r="B356" s="39" t="str">
        <f>"BAYER ΕΛΛΑΣ Α.Β.Ε.Ε."</f>
        <v>BAYER ΕΛΛΑΣ Α.Β.Ε.Ε.</v>
      </c>
      <c r="C356" s="10" t="str">
        <f>"99965"</f>
        <v>99965</v>
      </c>
      <c r="D356" s="3" t="str">
        <f>"5200309852156"</f>
        <v>5200309852156</v>
      </c>
      <c r="E356" s="3" t="str">
        <f>"PRIORIN SHAMPOO GRASS (ΛΙΠΑΡΑ) 200ML"</f>
        <v>PRIORIN SHAMPOO GRASS (ΛΙΠΑΡΑ) 200ML</v>
      </c>
      <c r="F356" s="19">
        <v>6.1</v>
      </c>
      <c r="G356" s="5">
        <v>0.08</v>
      </c>
      <c r="H356" s="19">
        <f t="shared" si="20"/>
        <v>5.6120000000000001</v>
      </c>
      <c r="I356" s="3"/>
      <c r="J356" s="243" t="s">
        <v>31</v>
      </c>
    </row>
    <row r="357" spans="1:10" ht="15" customHeight="1" thickBot="1" x14ac:dyDescent="0.3">
      <c r="A357" s="11">
        <v>5200309852163</v>
      </c>
      <c r="B357" s="130" t="str">
        <f>"BAYER ΕΛΛΑΣ Α.Β.Ε.Ε."</f>
        <v>BAYER ΕΛΛΑΣ Α.Β.Ε.Ε.</v>
      </c>
      <c r="C357" s="15" t="str">
        <f>"052085"</f>
        <v>052085</v>
      </c>
      <c r="D357" s="16" t="str">
        <f>"5200309852163"</f>
        <v>5200309852163</v>
      </c>
      <c r="E357" s="16" t="str">
        <f>"PRIORIN SHAMPOO NORMAL &amp; DRY 200ML"</f>
        <v>PRIORIN SHAMPOO NORMAL &amp; DRY 200ML</v>
      </c>
      <c r="F357" s="19">
        <v>6.1</v>
      </c>
      <c r="G357" s="17">
        <v>0.08</v>
      </c>
      <c r="H357" s="32">
        <f t="shared" si="20"/>
        <v>5.6120000000000001</v>
      </c>
      <c r="I357" s="16"/>
      <c r="J357" s="229"/>
    </row>
    <row r="358" spans="1:10" ht="15" customHeight="1" x14ac:dyDescent="0.25">
      <c r="A358" s="57">
        <v>5206562000037</v>
      </c>
      <c r="B358" s="71" t="str">
        <f>"DEKAZ AE"</f>
        <v>DEKAZ AE</v>
      </c>
      <c r="C358" s="21" t="str">
        <f>"2453"</f>
        <v>2453</v>
      </c>
      <c r="D358" s="22" t="str">
        <f>"5206562000037"</f>
        <v>5206562000037</v>
      </c>
      <c r="E358" s="22" t="str">
        <f>"EPICRIN FOOD SUPPLEMENT 30CAPS"</f>
        <v>EPICRIN FOOD SUPPLEMENT 30CAPS</v>
      </c>
      <c r="F358" s="19">
        <v>21.17</v>
      </c>
      <c r="G358" s="24">
        <v>0.05</v>
      </c>
      <c r="H358" s="23">
        <f t="shared" si="20"/>
        <v>20.111500000000003</v>
      </c>
      <c r="I358" s="22"/>
      <c r="J358" s="233" t="s">
        <v>17</v>
      </c>
    </row>
    <row r="359" spans="1:10" ht="15" customHeight="1" thickBot="1" x14ac:dyDescent="0.3">
      <c r="A359" s="26">
        <v>5206562000020</v>
      </c>
      <c r="B359" s="132" t="str">
        <f>"DEKAZ AE"</f>
        <v>DEKAZ AE</v>
      </c>
      <c r="C359" s="26" t="str">
        <f>"2452"</f>
        <v>2452</v>
      </c>
      <c r="D359" s="27" t="str">
        <f>"5206562000020"</f>
        <v>5206562000020</v>
      </c>
      <c r="E359" s="27" t="str">
        <f>"EPICRIN SHAMPOO 200ML"</f>
        <v>EPICRIN SHAMPOO 200ML</v>
      </c>
      <c r="F359" s="19">
        <v>15.6</v>
      </c>
      <c r="G359" s="29">
        <v>0.05</v>
      </c>
      <c r="H359" s="28">
        <f t="shared" si="20"/>
        <v>14.82</v>
      </c>
      <c r="I359" s="27"/>
      <c r="J359" s="228"/>
    </row>
    <row r="360" spans="1:10" ht="15" customHeight="1" x14ac:dyDescent="0.25">
      <c r="A360" s="6">
        <v>5200000021189</v>
      </c>
      <c r="B360" s="129" t="str">
        <f>"HAIR CARE SYSTEM ΕΜΜΑΝ.Κ.ΜΑΡΙΝΟΣ"</f>
        <v>HAIR CARE SYSTEM ΕΜΜΑΝ.Κ.ΜΑΡΙΝΟΣ</v>
      </c>
      <c r="C360" s="55" t="str">
        <f>"31779"</f>
        <v>31779</v>
      </c>
      <c r="D360" s="47" t="str">
        <f>"5200000021189"</f>
        <v>5200000021189</v>
      </c>
      <c r="E360" s="47" t="str">
        <f>"EXESIO HAIR MASK 250ML"</f>
        <v>EXESIO HAIR MASK 250ML</v>
      </c>
      <c r="F360" s="19">
        <v>17</v>
      </c>
      <c r="G360" s="48">
        <v>0.2</v>
      </c>
      <c r="H360" s="42">
        <f t="shared" si="20"/>
        <v>13.6</v>
      </c>
      <c r="I360" s="47"/>
      <c r="J360" s="224" t="s">
        <v>33</v>
      </c>
    </row>
    <row r="361" spans="1:10" ht="15" customHeight="1" x14ac:dyDescent="0.25">
      <c r="A361" s="10">
        <v>5200000022261</v>
      </c>
      <c r="B361" s="39" t="str">
        <f>"HAIR CARE SYSTEM ΕΜΜΑΝ.Κ.ΜΑΡΙΝΟΣ"</f>
        <v>HAIR CARE SYSTEM ΕΜΜΑΝ.Κ.ΜΑΡΙΝΟΣ</v>
      </c>
      <c r="C361" s="10" t="str">
        <f>"52862"</f>
        <v>52862</v>
      </c>
      <c r="D361" s="3" t="str">
        <f>"5200000022261"</f>
        <v>5200000022261</v>
      </c>
      <c r="E361" s="3" t="str">
        <f>"EXESIO LEAVE-IN LOTION TONOSIS 200ML"</f>
        <v>EXESIO LEAVE-IN LOTION TONOSIS 200ML</v>
      </c>
      <c r="F361" s="19">
        <v>11</v>
      </c>
      <c r="G361" s="5">
        <v>0.2</v>
      </c>
      <c r="H361" s="19">
        <f t="shared" si="20"/>
        <v>8.8000000000000007</v>
      </c>
      <c r="I361" s="3"/>
      <c r="J361" s="224"/>
    </row>
    <row r="362" spans="1:10" ht="15" customHeight="1" x14ac:dyDescent="0.25">
      <c r="A362" s="10">
        <v>5200000008906</v>
      </c>
      <c r="B362" s="39" t="str">
        <f>"HAIR CARE SYSTEM ΕΜΜΑΝ.Κ.ΜΑΡΙΝΟΣ"</f>
        <v>HAIR CARE SYSTEM ΕΜΜΑΝ.Κ.ΜΑΡΙΝΟΣ</v>
      </c>
      <c r="C362" s="10" t="str">
        <f>"060524"</f>
        <v>060524</v>
      </c>
      <c r="D362" s="3" t="str">
        <f>"5200000008906"</f>
        <v>5200000008906</v>
      </c>
      <c r="E362" s="3" t="str">
        <f>"EXESIO SYSTEM MASK &amp; SHAMPOO 280ML"</f>
        <v>EXESIO SYSTEM MASK &amp; SHAMPOO 280ML</v>
      </c>
      <c r="F362" s="19">
        <v>15.6</v>
      </c>
      <c r="G362" s="5">
        <v>0.2</v>
      </c>
      <c r="H362" s="19">
        <f t="shared" si="20"/>
        <v>12.48</v>
      </c>
      <c r="I362" s="3"/>
      <c r="J362" s="224"/>
    </row>
    <row r="363" spans="1:10" ht="15" customHeight="1" thickBot="1" x14ac:dyDescent="0.3">
      <c r="A363" s="11">
        <v>5200000008913</v>
      </c>
      <c r="B363" s="130" t="str">
        <f>"HAIR CARE SYSTEM ΕΜΜΑΝ.Κ.ΜΑΡΙΝΟΣ"</f>
        <v>HAIR CARE SYSTEM ΕΜΜΑΝ.Κ.ΜΑΡΙΝΟΣ</v>
      </c>
      <c r="C363" s="15" t="str">
        <f>"060523"</f>
        <v>060523</v>
      </c>
      <c r="D363" s="16" t="str">
        <f>"5200000008913"</f>
        <v>5200000008913</v>
      </c>
      <c r="E363" s="16" t="str">
        <f>"EXESIO SYSTEM MASK &amp; SHAMPOO 500ML"</f>
        <v>EXESIO SYSTEM MASK &amp; SHAMPOO 500ML</v>
      </c>
      <c r="F363" s="19">
        <v>24.15</v>
      </c>
      <c r="G363" s="17">
        <v>0.2</v>
      </c>
      <c r="H363" s="32">
        <f t="shared" si="20"/>
        <v>19.32</v>
      </c>
      <c r="I363" s="16"/>
      <c r="J363" s="224"/>
    </row>
    <row r="364" spans="1:10" ht="15" customHeight="1" x14ac:dyDescent="0.25">
      <c r="A364" s="57">
        <v>3282770209488</v>
      </c>
      <c r="B364" s="71" t="str">
        <f t="shared" ref="B364:B375" si="21">"PIERRE FABRE HELLAS A.E."</f>
        <v>PIERRE FABRE HELLAS A.E.</v>
      </c>
      <c r="C364" s="21" t="str">
        <f>"71605"</f>
        <v>71605</v>
      </c>
      <c r="D364" s="22" t="str">
        <f>"3282770209488"</f>
        <v>3282770209488</v>
      </c>
      <c r="E364" s="22" t="str">
        <f>"ADERMA EPITHELIALE A.H. ULTRA 100ML"</f>
        <v>ADERMA EPITHELIALE A.H. ULTRA 100ML</v>
      </c>
      <c r="F364" s="19">
        <v>11.8</v>
      </c>
      <c r="G364" s="24">
        <v>0.05</v>
      </c>
      <c r="H364" s="23">
        <f t="shared" si="20"/>
        <v>11.21</v>
      </c>
      <c r="I364" s="22"/>
      <c r="J364" s="221" t="s">
        <v>30</v>
      </c>
    </row>
    <row r="365" spans="1:10" ht="15" customHeight="1" x14ac:dyDescent="0.25">
      <c r="A365" s="25">
        <v>3282770209495</v>
      </c>
      <c r="B365" s="40" t="str">
        <f t="shared" si="21"/>
        <v>PIERRE FABRE HELLAS A.E.</v>
      </c>
      <c r="C365" s="25" t="str">
        <f>"73786"</f>
        <v>73786</v>
      </c>
      <c r="D365" s="18" t="str">
        <f>"3282770209495"</f>
        <v>3282770209495</v>
      </c>
      <c r="E365" s="18" t="str">
        <f>"ADERMA EPITHELIALE A.H. ULTRA 40ML"</f>
        <v>ADERMA EPITHELIALE A.H. ULTRA 40ML</v>
      </c>
      <c r="F365" s="19">
        <v>8.18</v>
      </c>
      <c r="G365" s="20">
        <v>0.05</v>
      </c>
      <c r="H365" s="19">
        <f t="shared" si="20"/>
        <v>7.7709999999999999</v>
      </c>
      <c r="I365" s="18"/>
      <c r="J365" s="242"/>
    </row>
    <row r="366" spans="1:10" ht="15" customHeight="1" x14ac:dyDescent="0.25">
      <c r="A366" s="25">
        <v>3282770204667</v>
      </c>
      <c r="B366" s="40" t="str">
        <f t="shared" si="21"/>
        <v>PIERRE FABRE HELLAS A.E.</v>
      </c>
      <c r="C366" s="25" t="str">
        <f>"050319"</f>
        <v>050319</v>
      </c>
      <c r="D366" s="18" t="str">
        <f>"3282770204667"</f>
        <v>3282770204667</v>
      </c>
      <c r="E366" s="18" t="str">
        <f>"AVENE CICALFATE CREAM 40ML"</f>
        <v>AVENE CICALFATE CREAM 40ML</v>
      </c>
      <c r="F366" s="19">
        <v>6.67</v>
      </c>
      <c r="G366" s="20">
        <v>0.05</v>
      </c>
      <c r="H366" s="19">
        <f t="shared" si="20"/>
        <v>6.3365</v>
      </c>
      <c r="I366" s="18"/>
      <c r="J366" s="34" t="s">
        <v>30</v>
      </c>
    </row>
    <row r="367" spans="1:10" ht="15" customHeight="1" x14ac:dyDescent="0.25">
      <c r="A367" s="25">
        <v>3282770139204</v>
      </c>
      <c r="B367" s="40" t="str">
        <f t="shared" si="21"/>
        <v>PIERRE FABRE HELLAS A.E.</v>
      </c>
      <c r="C367" s="25" t="str">
        <f>"0372"</f>
        <v>0372</v>
      </c>
      <c r="D367" s="18" t="str">
        <f>"3282770139204"</f>
        <v>3282770139204</v>
      </c>
      <c r="E367" s="18" t="str">
        <f>"AVENE CLEANANCE GEL NET 200ML"</f>
        <v>AVENE CLEANANCE GEL NET 200ML</v>
      </c>
      <c r="F367" s="19">
        <v>8.3000000000000007</v>
      </c>
      <c r="G367" s="20">
        <v>0.05</v>
      </c>
      <c r="H367" s="19">
        <f t="shared" si="20"/>
        <v>7.8850000000000007</v>
      </c>
      <c r="I367" s="18"/>
      <c r="J367" s="241" t="s">
        <v>30</v>
      </c>
    </row>
    <row r="368" spans="1:10" ht="15" customHeight="1" x14ac:dyDescent="0.25">
      <c r="A368" s="25">
        <v>3282770100259</v>
      </c>
      <c r="B368" s="40" t="str">
        <f t="shared" si="21"/>
        <v>PIERRE FABRE HELLAS A.E.</v>
      </c>
      <c r="C368" s="25" t="str">
        <f>"23879"</f>
        <v>23879</v>
      </c>
      <c r="D368" s="18" t="str">
        <f>"3282770100259"</f>
        <v>3282770100259</v>
      </c>
      <c r="E368" s="18" t="str">
        <f>"AVENE CLEANANCE GEL NET 400ML"</f>
        <v>AVENE CLEANANCE GEL NET 400ML</v>
      </c>
      <c r="F368" s="19">
        <v>11.2</v>
      </c>
      <c r="G368" s="20">
        <v>0.05</v>
      </c>
      <c r="H368" s="19">
        <f t="shared" si="20"/>
        <v>10.639999999999999</v>
      </c>
      <c r="I368" s="18"/>
      <c r="J368" s="242"/>
    </row>
    <row r="369" spans="1:10" ht="15" customHeight="1" x14ac:dyDescent="0.25">
      <c r="A369" s="25">
        <v>3282779003124</v>
      </c>
      <c r="B369" s="40" t="str">
        <f t="shared" si="21"/>
        <v>PIERRE FABRE HELLAS A.E.</v>
      </c>
      <c r="C369" s="25" t="str">
        <f>"02404"</f>
        <v>02404</v>
      </c>
      <c r="D369" s="18" t="str">
        <f>"3282779003124"</f>
        <v>3282779003124</v>
      </c>
      <c r="E369" s="18" t="str">
        <f>"AVENE EAU THERMAL SPRAY 150ML"</f>
        <v>AVENE EAU THERMAL SPRAY 150ML</v>
      </c>
      <c r="F369" s="19">
        <v>5.67</v>
      </c>
      <c r="G369" s="20">
        <v>0.05</v>
      </c>
      <c r="H369" s="19">
        <f t="shared" si="20"/>
        <v>5.3864999999999998</v>
      </c>
      <c r="I369" s="18"/>
      <c r="J369" s="241" t="s">
        <v>30</v>
      </c>
    </row>
    <row r="370" spans="1:10" ht="15" customHeight="1" x14ac:dyDescent="0.25">
      <c r="A370" s="25">
        <v>3282779003131</v>
      </c>
      <c r="B370" s="40" t="str">
        <f t="shared" si="21"/>
        <v>PIERRE FABRE HELLAS A.E.</v>
      </c>
      <c r="C370" s="25" t="str">
        <f>"254698"</f>
        <v>254698</v>
      </c>
      <c r="D370" s="18" t="str">
        <f>"3282779003131"</f>
        <v>3282779003131</v>
      </c>
      <c r="E370" s="18" t="str">
        <f>"AVENE EAU THERMAL SPRAY 300ML"</f>
        <v>AVENE EAU THERMAL SPRAY 300ML</v>
      </c>
      <c r="F370" s="19">
        <v>7.36</v>
      </c>
      <c r="G370" s="20">
        <v>0.05</v>
      </c>
      <c r="H370" s="19">
        <f t="shared" si="20"/>
        <v>6.992</v>
      </c>
      <c r="I370" s="18"/>
      <c r="J370" s="218"/>
    </row>
    <row r="371" spans="1:10" ht="15" customHeight="1" x14ac:dyDescent="0.25">
      <c r="A371" s="25">
        <v>3282779035576</v>
      </c>
      <c r="B371" s="40" t="str">
        <f t="shared" si="21"/>
        <v>PIERRE FABRE HELLAS A.E.</v>
      </c>
      <c r="C371" s="25" t="str">
        <f>"008523"</f>
        <v>008523</v>
      </c>
      <c r="D371" s="18" t="str">
        <f>"3282779035576"</f>
        <v>3282779035576</v>
      </c>
      <c r="E371" s="18" t="str">
        <f>"AVENE EAU THERMAL SPRAY 50ML"</f>
        <v>AVENE EAU THERMAL SPRAY 50ML</v>
      </c>
      <c r="F371" s="19">
        <v>2.63</v>
      </c>
      <c r="G371" s="20">
        <v>0.05</v>
      </c>
      <c r="H371" s="19">
        <f t="shared" si="20"/>
        <v>2.4984999999999999</v>
      </c>
      <c r="I371" s="18"/>
      <c r="J371" s="242"/>
    </row>
    <row r="372" spans="1:10" ht="15" customHeight="1" x14ac:dyDescent="0.25">
      <c r="A372" s="25">
        <v>3592610001838</v>
      </c>
      <c r="B372" s="40" t="str">
        <f t="shared" si="21"/>
        <v>PIERRE FABRE HELLAS A.E.</v>
      </c>
      <c r="C372" s="25" t="str">
        <f>"02905"</f>
        <v>02905</v>
      </c>
      <c r="D372" s="18" t="str">
        <f>"3592610001838"</f>
        <v>3592610001838</v>
      </c>
      <c r="E372" s="18" t="str">
        <f>"DEXERYL CREAM 250GR"</f>
        <v>DEXERYL CREAM 250GR</v>
      </c>
      <c r="F372" s="19">
        <v>5.9</v>
      </c>
      <c r="G372" s="20">
        <v>0.05</v>
      </c>
      <c r="H372" s="19">
        <f t="shared" si="20"/>
        <v>5.6050000000000004</v>
      </c>
      <c r="I372" s="18"/>
      <c r="J372" s="241" t="s">
        <v>30</v>
      </c>
    </row>
    <row r="373" spans="1:10" ht="15" customHeight="1" x14ac:dyDescent="0.25">
      <c r="A373" s="25">
        <v>3592610001371</v>
      </c>
      <c r="B373" s="40" t="str">
        <f t="shared" si="21"/>
        <v>PIERRE FABRE HELLAS A.E.</v>
      </c>
      <c r="C373" s="25" t="str">
        <f>"30099"</f>
        <v>30099</v>
      </c>
      <c r="D373" s="18" t="str">
        <f>"3592610001371"</f>
        <v>3592610001371</v>
      </c>
      <c r="E373" s="18" t="str">
        <f>"DEXERYL CREAM 500GR"</f>
        <v>DEXERYL CREAM 500GR</v>
      </c>
      <c r="F373" s="19">
        <v>9.6199999999999992</v>
      </c>
      <c r="G373" s="20">
        <v>0.05</v>
      </c>
      <c r="H373" s="19">
        <f t="shared" si="20"/>
        <v>9.1389999999999993</v>
      </c>
      <c r="I373" s="18"/>
      <c r="J373" s="242"/>
    </row>
    <row r="374" spans="1:10" ht="15" customHeight="1" x14ac:dyDescent="0.25">
      <c r="A374" s="25">
        <v>3282770202267</v>
      </c>
      <c r="B374" s="40" t="str">
        <f t="shared" si="21"/>
        <v>PIERRE FABRE HELLAS A.E.</v>
      </c>
      <c r="C374" s="25" t="str">
        <f>"052541"</f>
        <v>052541</v>
      </c>
      <c r="D374" s="18" t="str">
        <f>"3282770202267"</f>
        <v>3282770202267</v>
      </c>
      <c r="E374" s="18" t="str">
        <f>"DUCRAY KELUAL DS CREAM 40ML"</f>
        <v>DUCRAY KELUAL DS CREAM 40ML</v>
      </c>
      <c r="F374" s="19">
        <v>9.4700000000000006</v>
      </c>
      <c r="G374" s="20">
        <v>0.05</v>
      </c>
      <c r="H374" s="19">
        <f t="shared" si="20"/>
        <v>8.9965000000000011</v>
      </c>
      <c r="I374" s="18"/>
      <c r="J374" s="241" t="s">
        <v>30</v>
      </c>
    </row>
    <row r="375" spans="1:10" ht="15" customHeight="1" thickBot="1" x14ac:dyDescent="0.3">
      <c r="A375" s="30">
        <v>3282770140453</v>
      </c>
      <c r="B375" s="133" t="str">
        <f t="shared" si="21"/>
        <v>PIERRE FABRE HELLAS A.E.</v>
      </c>
      <c r="C375" s="26" t="str">
        <f>"051933"</f>
        <v>051933</v>
      </c>
      <c r="D375" s="27" t="str">
        <f>"3282770140453"</f>
        <v>3282770140453</v>
      </c>
      <c r="E375" s="27" t="str">
        <f>"DUCRAY KELUAL DS SHAMPOO 100ML"</f>
        <v>DUCRAY KELUAL DS SHAMPOO 100ML</v>
      </c>
      <c r="F375" s="19">
        <v>8.4700000000000006</v>
      </c>
      <c r="G375" s="29">
        <v>0.05</v>
      </c>
      <c r="H375" s="28">
        <f t="shared" si="20"/>
        <v>8.0465</v>
      </c>
      <c r="I375" s="27"/>
      <c r="J375" s="222"/>
    </row>
    <row r="376" spans="1:10" ht="15" customHeight="1" thickBot="1" x14ac:dyDescent="0.3">
      <c r="A376" s="66">
        <v>8004283158108</v>
      </c>
      <c r="B376" s="135" t="s">
        <v>6</v>
      </c>
      <c r="C376" s="59" t="str">
        <f>"23522"</f>
        <v>23522</v>
      </c>
      <c r="D376" s="49" t="str">
        <f>"8004283158108"</f>
        <v>8004283158108</v>
      </c>
      <c r="E376" s="49" t="str">
        <f>"LACTACYD INTIMO 200ML"</f>
        <v>LACTACYD INTIMO 200ML</v>
      </c>
      <c r="F376" s="19">
        <v>2.8</v>
      </c>
      <c r="G376" s="50">
        <v>0.08</v>
      </c>
      <c r="H376" s="74">
        <f t="shared" si="20"/>
        <v>2.5759999999999996</v>
      </c>
      <c r="I376" s="49"/>
      <c r="J376" s="60" t="s">
        <v>9</v>
      </c>
    </row>
    <row r="377" spans="1:10" ht="15" customHeight="1" x14ac:dyDescent="0.25">
      <c r="A377" s="6">
        <v>5391520942549</v>
      </c>
      <c r="B377" s="129" t="str">
        <f t="shared" ref="B377:B384" si="22">"OMEGA PHARMA HELLAS A.E."</f>
        <v>OMEGA PHARMA HELLAS A.E.</v>
      </c>
      <c r="C377" s="6" t="str">
        <f>"24889"</f>
        <v>24889</v>
      </c>
      <c r="D377" s="7" t="str">
        <f>"5391520942549"</f>
        <v>5391520942549</v>
      </c>
      <c r="E377" s="7" t="str">
        <f>"LACTACYD INTIMO DAILY LOTION 300ML"</f>
        <v>LACTACYD INTIMO DAILY LOTION 300ML</v>
      </c>
      <c r="F377" s="19">
        <v>4.1900000000000004</v>
      </c>
      <c r="G377" s="9">
        <v>0.05</v>
      </c>
      <c r="H377" s="23">
        <f t="shared" si="20"/>
        <v>3.9805000000000001</v>
      </c>
      <c r="I377" s="7"/>
      <c r="J377" s="219" t="s">
        <v>16</v>
      </c>
    </row>
    <row r="378" spans="1:10" ht="15" customHeight="1" x14ac:dyDescent="0.25">
      <c r="A378" s="10">
        <v>5391520947612</v>
      </c>
      <c r="B378" s="39" t="str">
        <f t="shared" si="22"/>
        <v>OMEGA PHARMA HELLAS A.E.</v>
      </c>
      <c r="C378" s="10" t="str">
        <f>"41899"</f>
        <v>41899</v>
      </c>
      <c r="D378" s="3" t="str">
        <f>"5391520947612"</f>
        <v>5391520947612</v>
      </c>
      <c r="E378" s="3" t="str">
        <f>"LACTACYD GIRL 200ML"</f>
        <v>LACTACYD GIRL 200ML</v>
      </c>
      <c r="F378" s="19">
        <v>4.18</v>
      </c>
      <c r="G378" s="5">
        <v>0.05</v>
      </c>
      <c r="H378" s="19">
        <f t="shared" si="20"/>
        <v>3.9709999999999996</v>
      </c>
      <c r="I378" s="3"/>
      <c r="J378" s="224"/>
    </row>
    <row r="379" spans="1:10" ht="15" customHeight="1" x14ac:dyDescent="0.25">
      <c r="A379" s="10">
        <v>5391520945816</v>
      </c>
      <c r="B379" s="39" t="str">
        <f t="shared" si="22"/>
        <v>OMEGA PHARMA HELLAS A.E.</v>
      </c>
      <c r="C379" s="10" t="str">
        <f>"20360"</f>
        <v>20360</v>
      </c>
      <c r="D379" s="3" t="str">
        <f>"5391520945816"</f>
        <v>5391520945816</v>
      </c>
      <c r="E379" s="3" t="str">
        <f>"LACTACYD PHARMA ANTIFUNGAL 250ML"</f>
        <v>LACTACYD PHARMA ANTIFUNGAL 250ML</v>
      </c>
      <c r="F379" s="19">
        <v>5.58</v>
      </c>
      <c r="G379" s="5">
        <v>0.05</v>
      </c>
      <c r="H379" s="19">
        <f t="shared" si="20"/>
        <v>5.3010000000000002</v>
      </c>
      <c r="I379" s="3"/>
      <c r="J379" s="224"/>
    </row>
    <row r="380" spans="1:10" ht="15" customHeight="1" x14ac:dyDescent="0.25">
      <c r="A380" s="10">
        <v>5391520942419</v>
      </c>
      <c r="B380" s="39" t="str">
        <f t="shared" si="22"/>
        <v>OMEGA PHARMA HELLAS A.E.</v>
      </c>
      <c r="C380" s="10" t="str">
        <f>"24887"</f>
        <v>24887</v>
      </c>
      <c r="D380" s="3" t="str">
        <f>"5391520942419"</f>
        <v>5391520942419</v>
      </c>
      <c r="E380" s="3" t="str">
        <f>"LACTACYD PHARMA MOISTURIZING 250ML"</f>
        <v>LACTACYD PHARMA MOISTURIZING 250ML</v>
      </c>
      <c r="F380" s="19">
        <v>4.88</v>
      </c>
      <c r="G380" s="5">
        <v>0.05</v>
      </c>
      <c r="H380" s="19">
        <f t="shared" si="20"/>
        <v>4.6360000000000001</v>
      </c>
      <c r="I380" s="3"/>
      <c r="J380" s="224"/>
    </row>
    <row r="381" spans="1:10" ht="15" customHeight="1" x14ac:dyDescent="0.25">
      <c r="A381" s="10">
        <v>5391520942426</v>
      </c>
      <c r="B381" s="39" t="str">
        <f t="shared" si="22"/>
        <v>OMEGA PHARMA HELLAS A.E.</v>
      </c>
      <c r="C381" s="10" t="str">
        <f>"24885"</f>
        <v>24885</v>
      </c>
      <c r="D381" s="3" t="str">
        <f>"5391520942426"</f>
        <v>5391520942426</v>
      </c>
      <c r="E381" s="3" t="str">
        <f>"LACTACYD PHARMA SENSITIVE 250ML"</f>
        <v>LACTACYD PHARMA SENSITIVE 250ML</v>
      </c>
      <c r="F381" s="19">
        <v>4.88</v>
      </c>
      <c r="G381" s="5">
        <v>0.05</v>
      </c>
      <c r="H381" s="19">
        <f t="shared" si="20"/>
        <v>4.6360000000000001</v>
      </c>
      <c r="I381" s="3"/>
      <c r="J381" s="224"/>
    </row>
    <row r="382" spans="1:10" ht="15" customHeight="1" x14ac:dyDescent="0.25">
      <c r="A382" s="10">
        <v>5391520942433</v>
      </c>
      <c r="B382" s="39" t="str">
        <f t="shared" si="22"/>
        <v>OMEGA PHARMA HELLAS A.E.</v>
      </c>
      <c r="C382" s="10" t="str">
        <f>"24888"</f>
        <v>24888</v>
      </c>
      <c r="D382" s="3" t="str">
        <f>"5391520942433"</f>
        <v>5391520942433</v>
      </c>
      <c r="E382" s="3" t="str">
        <f>"LACTACYD PHARMA SOOTHING 250ML"</f>
        <v>LACTACYD PHARMA SOOTHING 250ML</v>
      </c>
      <c r="F382" s="19">
        <v>4.88</v>
      </c>
      <c r="G382" s="5">
        <v>0.05</v>
      </c>
      <c r="H382" s="19">
        <f t="shared" si="20"/>
        <v>4.6360000000000001</v>
      </c>
      <c r="I382" s="3"/>
      <c r="J382" s="224"/>
    </row>
    <row r="383" spans="1:10" ht="15" customHeight="1" x14ac:dyDescent="0.25">
      <c r="A383" s="10">
        <v>5391520949593</v>
      </c>
      <c r="B383" s="39" t="str">
        <f t="shared" si="22"/>
        <v>OMEGA PHARMA HELLAS A.E.</v>
      </c>
      <c r="C383" s="10" t="str">
        <f>"89006"</f>
        <v>89006</v>
      </c>
      <c r="D383" s="3" t="str">
        <f>"5391520949593"</f>
        <v>5391520949593</v>
      </c>
      <c r="E383" s="3" t="str">
        <f>"LACTACYD PREBIOTIC PLUS 250ML"</f>
        <v>LACTACYD PREBIOTIC PLUS 250ML</v>
      </c>
      <c r="F383" s="19">
        <v>4.88</v>
      </c>
      <c r="G383" s="5">
        <v>0.05</v>
      </c>
      <c r="H383" s="19">
        <f t="shared" si="20"/>
        <v>4.6360000000000001</v>
      </c>
      <c r="I383" s="3"/>
      <c r="J383" s="224"/>
    </row>
    <row r="384" spans="1:10" ht="15" customHeight="1" thickBot="1" x14ac:dyDescent="0.3">
      <c r="A384" s="11">
        <v>8470001744401</v>
      </c>
      <c r="B384" s="130" t="str">
        <f t="shared" si="22"/>
        <v>OMEGA PHARMA HELLAS A.E.</v>
      </c>
      <c r="C384" s="11" t="str">
        <f>"43741"</f>
        <v>43741</v>
      </c>
      <c r="D384" s="12" t="str">
        <f>"8470001744401"</f>
        <v>8470001744401</v>
      </c>
      <c r="E384" s="12" t="str">
        <f>"LACTACYD WIPES SINGLES X15"</f>
        <v>LACTACYD WIPES SINGLES X15</v>
      </c>
      <c r="F384" s="19">
        <v>2.79</v>
      </c>
      <c r="G384" s="14">
        <v>0.05</v>
      </c>
      <c r="H384" s="28">
        <f t="shared" si="20"/>
        <v>2.6505000000000001</v>
      </c>
      <c r="I384" s="12"/>
      <c r="J384" s="220"/>
    </row>
    <row r="385" spans="1:10" ht="15" customHeight="1" x14ac:dyDescent="0.25">
      <c r="A385" s="21">
        <v>3664798052237</v>
      </c>
      <c r="B385" s="131" t="str">
        <f t="shared" ref="B385:B390" si="23">"OPELLA HEALTHCARE GREECE M.ΕΠΕ"</f>
        <v>OPELLA HEALTHCARE GREECE M.ΕΠΕ</v>
      </c>
      <c r="C385" s="57" t="str">
        <f>"108845"</f>
        <v>108845</v>
      </c>
      <c r="D385" s="41" t="str">
        <f>"3664798052237"</f>
        <v>3664798052237</v>
      </c>
      <c r="E385" s="41" t="str">
        <f>"ALLEGRIN SPRAY 15ML"</f>
        <v>ALLEGRIN SPRAY 15ML</v>
      </c>
      <c r="F385" s="19">
        <v>6.49</v>
      </c>
      <c r="G385" s="43">
        <v>0.08</v>
      </c>
      <c r="H385" s="42">
        <f t="shared" si="20"/>
        <v>5.9708000000000006</v>
      </c>
      <c r="I385" s="41"/>
      <c r="J385" s="58" t="s">
        <v>83</v>
      </c>
    </row>
    <row r="386" spans="1:10" ht="15" customHeight="1" x14ac:dyDescent="0.25">
      <c r="A386" s="25">
        <v>3582910081975</v>
      </c>
      <c r="B386" s="40" t="str">
        <f t="shared" si="23"/>
        <v>OPELLA HEALTHCARE GREECE M.ΕΠΕ</v>
      </c>
      <c r="C386" s="25" t="str">
        <f>"052931"</f>
        <v>052931</v>
      </c>
      <c r="D386" s="18" t="str">
        <f>"3582910081975"</f>
        <v>3582910081975</v>
      </c>
      <c r="E386" s="18" t="str">
        <f>"ANTISTAX LEG MASSAGE FRESH GEL 125MG"</f>
        <v>ANTISTAX LEG MASSAGE FRESH GEL 125MG</v>
      </c>
      <c r="F386" s="19">
        <v>9.4499999999999993</v>
      </c>
      <c r="G386" s="20">
        <v>0.08</v>
      </c>
      <c r="H386" s="19">
        <f t="shared" si="20"/>
        <v>8.6939999999999991</v>
      </c>
      <c r="I386" s="18"/>
      <c r="J386" s="241" t="s">
        <v>83</v>
      </c>
    </row>
    <row r="387" spans="1:10" ht="15" customHeight="1" x14ac:dyDescent="0.25">
      <c r="A387" s="25">
        <v>3582910081982</v>
      </c>
      <c r="B387" s="40" t="str">
        <f t="shared" si="23"/>
        <v>OPELLA HEALTHCARE GREECE M.ΕΠΕ</v>
      </c>
      <c r="C387" s="25" t="str">
        <f>"052930"</f>
        <v>052930</v>
      </c>
      <c r="D387" s="18" t="str">
        <f>"3582910081982"</f>
        <v>3582910081982</v>
      </c>
      <c r="E387" s="18" t="str">
        <f>"ANTISTAX TABL. 30x360MG"</f>
        <v>ANTISTAX TABL. 30x360MG</v>
      </c>
      <c r="F387" s="19">
        <v>10.29</v>
      </c>
      <c r="G387" s="20">
        <v>0.08</v>
      </c>
      <c r="H387" s="19">
        <f t="shared" si="20"/>
        <v>9.4667999999999992</v>
      </c>
      <c r="I387" s="18"/>
      <c r="J387" s="242"/>
    </row>
    <row r="388" spans="1:10" ht="15" customHeight="1" x14ac:dyDescent="0.25">
      <c r="A388" s="25">
        <v>4049001001322</v>
      </c>
      <c r="B388" s="40" t="str">
        <f t="shared" si="23"/>
        <v>OPELLA HEALTHCARE GREECE M.ΕΠΕ</v>
      </c>
      <c r="C388" s="25" t="str">
        <f>"054244"</f>
        <v>054244</v>
      </c>
      <c r="D388" s="18" t="str">
        <f>"4049001001322"</f>
        <v>4049001001322</v>
      </c>
      <c r="E388" s="18" t="str">
        <f>"DULCOGAS SACH GRAN.125MG"</f>
        <v>DULCOGAS SACH GRAN.125MG</v>
      </c>
      <c r="F388" s="19">
        <v>4.92</v>
      </c>
      <c r="G388" s="20">
        <v>0.08</v>
      </c>
      <c r="H388" s="19">
        <f t="shared" si="20"/>
        <v>4.5263999999999998</v>
      </c>
      <c r="I388" s="18"/>
      <c r="J388" s="241" t="s">
        <v>49</v>
      </c>
    </row>
    <row r="389" spans="1:10" ht="15" customHeight="1" x14ac:dyDescent="0.25">
      <c r="A389" s="25">
        <v>3582910082101</v>
      </c>
      <c r="B389" s="40" t="str">
        <f t="shared" si="23"/>
        <v>OPELLA HEALTHCARE GREECE M.ΕΠΕ</v>
      </c>
      <c r="C389" s="25" t="str">
        <f>"10759"</f>
        <v>10759</v>
      </c>
      <c r="D389" s="18" t="str">
        <f>"3582910082101"</f>
        <v>3582910082101</v>
      </c>
      <c r="E389" s="18" t="str">
        <f>"DULCOSOFT LIQUID 250ML"</f>
        <v>DULCOSOFT LIQUID 250ML</v>
      </c>
      <c r="F389" s="19">
        <v>5.4</v>
      </c>
      <c r="G389" s="20">
        <v>0.08</v>
      </c>
      <c r="H389" s="19">
        <f t="shared" si="20"/>
        <v>4.968</v>
      </c>
      <c r="I389" s="18"/>
      <c r="J389" s="218"/>
    </row>
    <row r="390" spans="1:10" ht="15" customHeight="1" thickBot="1" x14ac:dyDescent="0.3">
      <c r="A390" s="26">
        <v>3582910082095</v>
      </c>
      <c r="B390" s="132" t="str">
        <f t="shared" si="23"/>
        <v>OPELLA HEALTHCARE GREECE M.ΕΠΕ</v>
      </c>
      <c r="C390" s="30" t="str">
        <f>"21539"</f>
        <v>21539</v>
      </c>
      <c r="D390" s="31" t="str">
        <f>"3582910082095"</f>
        <v>3582910082095</v>
      </c>
      <c r="E390" s="31" t="str">
        <f>"DULCOSOFT POWDER SACHETS x10"</f>
        <v>DULCOSOFT POWDER SACHETS x10</v>
      </c>
      <c r="F390" s="19">
        <v>4.4000000000000004</v>
      </c>
      <c r="G390" s="33">
        <v>0.08</v>
      </c>
      <c r="H390" s="32">
        <f t="shared" si="20"/>
        <v>4.048</v>
      </c>
      <c r="I390" s="31"/>
      <c r="J390" s="218"/>
    </row>
    <row r="391" spans="1:10" s="2" customFormat="1" ht="15" customHeight="1" x14ac:dyDescent="0.25">
      <c r="A391" s="6">
        <v>8427324871406</v>
      </c>
      <c r="B391" s="129" t="str">
        <f t="shared" ref="B391:B401" si="24">"ΑΛΚΟΝ ΛΑΜΠΟΡΑΤΟΡΙΣ ΕΛΛΑΣ ΜΟΝΟΠΡ. ΑΕΒΕ"</f>
        <v>ΑΛΚΟΝ ΛΑΜΠΟΡΑΤΟΡΙΣ ΕΛΛΑΣ ΜΟΝΟΠΡ. ΑΕΒΕ</v>
      </c>
      <c r="C391" s="6" t="str">
        <f>"054059"</f>
        <v>054059</v>
      </c>
      <c r="D391" s="7" t="str">
        <f>"8427324871406"</f>
        <v>8427324871406</v>
      </c>
      <c r="E391" s="7" t="str">
        <f>"SYSTANE BALANCE DROPS 10ML"</f>
        <v>SYSTANE BALANCE DROPS 10ML</v>
      </c>
      <c r="F391" s="19">
        <v>9.8699999999999992</v>
      </c>
      <c r="G391" s="9">
        <v>0.1</v>
      </c>
      <c r="H391" s="23">
        <f t="shared" si="20"/>
        <v>8.8829999999999991</v>
      </c>
      <c r="I391" s="7"/>
      <c r="J391" s="219" t="s">
        <v>49</v>
      </c>
    </row>
    <row r="392" spans="1:10" s="2" customFormat="1" ht="15" customHeight="1" x14ac:dyDescent="0.25">
      <c r="A392" s="10">
        <v>300650481465</v>
      </c>
      <c r="B392" s="39" t="str">
        <f t="shared" si="24"/>
        <v>ΑΛΚΟΝ ΛΑΜΠΟΡΑΤΟΡΙΣ ΕΛΛΑΣ ΜΟΝΟΠΡ. ΑΕΒΕ</v>
      </c>
      <c r="C392" s="10" t="s">
        <v>203</v>
      </c>
      <c r="D392" s="3" t="s">
        <v>204</v>
      </c>
      <c r="E392" s="3" t="s">
        <v>205</v>
      </c>
      <c r="F392" s="19">
        <v>11.1</v>
      </c>
      <c r="G392" s="5">
        <v>0.1</v>
      </c>
      <c r="H392" s="19">
        <f t="shared" si="20"/>
        <v>9.99</v>
      </c>
      <c r="I392" s="3"/>
      <c r="J392" s="224"/>
    </row>
    <row r="393" spans="1:10" s="2" customFormat="1" ht="15" customHeight="1" x14ac:dyDescent="0.25">
      <c r="A393" s="10">
        <v>300650481458</v>
      </c>
      <c r="B393" s="39" t="str">
        <f t="shared" si="24"/>
        <v>ΑΛΚΟΝ ΛΑΜΠΟΡΑΤΟΡΙΣ ΕΛΛΑΣ ΜΟΝΟΠΡ. ΑΕΒΕ</v>
      </c>
      <c r="C393" s="10" t="str">
        <f>"53942"</f>
        <v>53942</v>
      </c>
      <c r="D393" s="3" t="str">
        <f>"300650481458"</f>
        <v>300650481458</v>
      </c>
      <c r="E393" s="3" t="str">
        <f>"SYSTANE COMPLETE 5ML"</f>
        <v>SYSTANE COMPLETE 5ML</v>
      </c>
      <c r="F393" s="19">
        <v>7.3</v>
      </c>
      <c r="G393" s="5">
        <v>0.1</v>
      </c>
      <c r="H393" s="19">
        <f t="shared" si="20"/>
        <v>6.57</v>
      </c>
      <c r="I393" s="3"/>
      <c r="J393" s="224"/>
    </row>
    <row r="394" spans="1:10" s="2" customFormat="1" ht="15" customHeight="1" x14ac:dyDescent="0.25">
      <c r="A394" s="10">
        <v>8427324882846</v>
      </c>
      <c r="B394" s="39" t="str">
        <f t="shared" si="24"/>
        <v>ΑΛΚΟΝ ΛΑΜΠΟΡΑΤΟΡΙΣ ΕΛΛΑΣ ΜΟΝΟΠΡ. ΑΕΒΕ</v>
      </c>
      <c r="C394" s="10" t="str">
        <f>"7161"</f>
        <v>7161</v>
      </c>
      <c r="D394" s="3" t="str">
        <f>"8427324882846"</f>
        <v>8427324882846</v>
      </c>
      <c r="E394" s="3" t="str">
        <f>"SYSTANE GEL DROPS 10ML"</f>
        <v>SYSTANE GEL DROPS 10ML</v>
      </c>
      <c r="F394" s="19">
        <v>8.5500000000000007</v>
      </c>
      <c r="G394" s="5">
        <v>0.1</v>
      </c>
      <c r="H394" s="19">
        <f t="shared" si="20"/>
        <v>7.6950000000000003</v>
      </c>
      <c r="I394" s="3"/>
      <c r="J394" s="224"/>
    </row>
    <row r="395" spans="1:10" s="2" customFormat="1" ht="15" customHeight="1" x14ac:dyDescent="0.25">
      <c r="A395" s="10">
        <v>5413895400599</v>
      </c>
      <c r="B395" s="39" t="str">
        <f t="shared" si="24"/>
        <v>ΑΛΚΟΝ ΛΑΜΠΟΡΑΤΟΡΙΣ ΕΛΛΑΣ ΜΟΝΟΠΡ. ΑΕΒΕ</v>
      </c>
      <c r="C395" s="10" t="str">
        <f>"6690"</f>
        <v>6690</v>
      </c>
      <c r="D395" s="3" t="str">
        <f>"5413895400599"</f>
        <v>5413895400599</v>
      </c>
      <c r="E395" s="3" t="str">
        <f>"SYSTANE HYDRATION MDPF DROPS 10ML ΧΩΡΙΣ ΣΥΝΤΗΡΗΤΙΚΑ"</f>
        <v>SYSTANE HYDRATION MDPF DROPS 10ML ΧΩΡΙΣ ΣΥΝΤΗΡΗΤΙΚΑ</v>
      </c>
      <c r="F395" s="19">
        <v>10.19</v>
      </c>
      <c r="G395" s="5">
        <v>0.1</v>
      </c>
      <c r="H395" s="19">
        <f t="shared" si="20"/>
        <v>9.1709999999999994</v>
      </c>
      <c r="I395" s="3"/>
      <c r="J395" s="224"/>
    </row>
    <row r="396" spans="1:10" s="2" customFormat="1" ht="15" customHeight="1" x14ac:dyDescent="0.25">
      <c r="A396" s="10">
        <v>3700028502254</v>
      </c>
      <c r="B396" s="39" t="str">
        <f t="shared" si="24"/>
        <v>ΑΛΚΟΝ ΛΑΜΠΟΡΑΤΟΡΙΣ ΕΛΛΑΣ ΜΟΝΟΠΡ. ΑΕΒΕ</v>
      </c>
      <c r="C396" s="10" t="str">
        <f>"04569"</f>
        <v>04569</v>
      </c>
      <c r="D396" s="3" t="str">
        <f>"3700028502254"</f>
        <v>3700028502254</v>
      </c>
      <c r="E396" s="3" t="str">
        <f>"SYSTANE HYDRATION UD 30x0,7ML"</f>
        <v>SYSTANE HYDRATION UD 30x0,7ML</v>
      </c>
      <c r="F396" s="19">
        <v>11.38</v>
      </c>
      <c r="G396" s="5">
        <v>0.1</v>
      </c>
      <c r="H396" s="19">
        <f t="shared" si="20"/>
        <v>10.242000000000001</v>
      </c>
      <c r="I396" s="3"/>
      <c r="J396" s="224"/>
    </row>
    <row r="397" spans="1:10" s="2" customFormat="1" ht="15" customHeight="1" x14ac:dyDescent="0.25">
      <c r="A397" s="10">
        <v>300658052148</v>
      </c>
      <c r="B397" s="39" t="str">
        <f t="shared" si="24"/>
        <v>ΑΛΚΟΝ ΛΑΜΠΟΡΑΤΟΡΙΣ ΕΛΛΑΣ ΜΟΝΟΠΡ. ΑΕΒΕ</v>
      </c>
      <c r="C397" s="10" t="str">
        <f>"14919"</f>
        <v>14919</v>
      </c>
      <c r="D397" s="3" t="str">
        <f>"0300658052148"</f>
        <v>0300658052148</v>
      </c>
      <c r="E397" s="3" t="str">
        <f>"SYSTANE LID WIPES x30 (ΜΑΝΤΗΛΑΚΙΑ)"</f>
        <v>SYSTANE LID WIPES x30 (ΜΑΝΤΗΛΑΚΙΑ)</v>
      </c>
      <c r="F397" s="19">
        <v>10</v>
      </c>
      <c r="G397" s="5">
        <v>0.1</v>
      </c>
      <c r="H397" s="19">
        <f t="shared" si="20"/>
        <v>9</v>
      </c>
      <c r="I397" s="3"/>
      <c r="J397" s="224"/>
    </row>
    <row r="398" spans="1:10" s="2" customFormat="1" ht="15" customHeight="1" x14ac:dyDescent="0.25">
      <c r="A398" s="10">
        <v>8427324859596</v>
      </c>
      <c r="B398" s="39" t="str">
        <f t="shared" si="24"/>
        <v>ΑΛΚΟΝ ΛΑΜΠΟΡΑΤΟΡΙΣ ΕΛΛΑΣ ΜΟΝΟΠΡ. ΑΕΒΕ</v>
      </c>
      <c r="C398" s="10" t="str">
        <f>"080475"</f>
        <v>080475</v>
      </c>
      <c r="D398" s="3" t="str">
        <f>"8427324859596"</f>
        <v>8427324859596</v>
      </c>
      <c r="E398" s="3" t="str">
        <f>"SYSTANE ULTRA DROPS 10ML"</f>
        <v>SYSTANE ULTRA DROPS 10ML</v>
      </c>
      <c r="F398" s="19">
        <v>8.4</v>
      </c>
      <c r="G398" s="5">
        <v>0.1</v>
      </c>
      <c r="H398" s="19">
        <f t="shared" si="20"/>
        <v>7.5600000000000005</v>
      </c>
      <c r="I398" s="3"/>
      <c r="J398" s="224"/>
    </row>
    <row r="399" spans="1:10" s="2" customFormat="1" ht="15" customHeight="1" thickBot="1" x14ac:dyDescent="0.3">
      <c r="A399" s="10">
        <v>5413895400148</v>
      </c>
      <c r="B399" s="39" t="str">
        <f t="shared" si="24"/>
        <v>ΑΛΚΟΝ ΛΑΜΠΟΡΑΤΟΡΙΣ ΕΛΛΑΣ ΜΟΝΟΠΡ. ΑΕΒΕ</v>
      </c>
      <c r="C399" s="11" t="str">
        <f>"74987"</f>
        <v>74987</v>
      </c>
      <c r="D399" s="12" t="str">
        <f>"5413895400148"</f>
        <v>5413895400148</v>
      </c>
      <c r="E399" s="12" t="str">
        <f>"SYSTANE ULTRA MDPF 10ML ΧΩΡΙΣ ΣΥΝΤΗΡΗΤΙΚΑ"</f>
        <v>SYSTANE ULTRA MDPF 10ML ΧΩΡΙΣ ΣΥΝΤΗΡΗΤΙΚΑ</v>
      </c>
      <c r="F399" s="19">
        <v>8.82</v>
      </c>
      <c r="G399" s="14">
        <v>0.1</v>
      </c>
      <c r="H399" s="28">
        <f t="shared" si="20"/>
        <v>7.9380000000000006</v>
      </c>
      <c r="I399" s="12"/>
      <c r="J399" s="220"/>
    </row>
    <row r="400" spans="1:10" s="2" customFormat="1" ht="15" customHeight="1" x14ac:dyDescent="0.25">
      <c r="A400" s="10">
        <v>3700028502513</v>
      </c>
      <c r="B400" s="39" t="str">
        <f t="shared" si="24"/>
        <v>ΑΛΚΟΝ ΛΑΜΠΟΡΑΤΟΡΙΣ ΕΛΛΑΣ ΜΟΝΟΠΡ. ΑΕΒΕ</v>
      </c>
      <c r="C400" s="55" t="str">
        <f>"18200"</f>
        <v>18200</v>
      </c>
      <c r="D400" s="47" t="str">
        <f>"3700028502513"</f>
        <v>3700028502513</v>
      </c>
      <c r="E400" s="47" t="str">
        <f>"TEARS NATURALE FREE MED 0,4 ML VIALS x30"</f>
        <v>TEARS NATURALE FREE MED 0,4 ML VIALS x30</v>
      </c>
      <c r="F400" s="19">
        <v>6.41</v>
      </c>
      <c r="G400" s="48">
        <v>0.05</v>
      </c>
      <c r="H400" s="42">
        <f t="shared" si="20"/>
        <v>6.0895000000000001</v>
      </c>
      <c r="I400" s="47"/>
      <c r="J400" s="224" t="s">
        <v>86</v>
      </c>
    </row>
    <row r="401" spans="1:10" s="2" customFormat="1" ht="15" customHeight="1" thickBot="1" x14ac:dyDescent="0.3">
      <c r="A401" s="11">
        <v>8427324895372</v>
      </c>
      <c r="B401" s="130" t="str">
        <f t="shared" si="24"/>
        <v>ΑΛΚΟΝ ΛΑΜΠΟΡΑΤΟΡΙΣ ΕΛΛΑΣ ΜΟΝΟΠΡ. ΑΕΒΕ</v>
      </c>
      <c r="C401" s="15" t="str">
        <f>"18199"</f>
        <v>18199</v>
      </c>
      <c r="D401" s="16" t="str">
        <f>"8427324895372"</f>
        <v>8427324895372</v>
      </c>
      <c r="E401" s="16" t="str">
        <f>"TEARS NATURALE II MED COLL 15ML"</f>
        <v>TEARS NATURALE II MED COLL 15ML</v>
      </c>
      <c r="F401" s="19">
        <v>3.96</v>
      </c>
      <c r="G401" s="17">
        <v>0.05</v>
      </c>
      <c r="H401" s="32">
        <f t="shared" si="20"/>
        <v>3.762</v>
      </c>
      <c r="I401" s="16"/>
      <c r="J401" s="224"/>
    </row>
    <row r="402" spans="1:10" ht="15" customHeight="1" x14ac:dyDescent="0.25">
      <c r="A402" s="21">
        <v>300650358781</v>
      </c>
      <c r="B402" s="131" t="str">
        <f>"ΓΕΡΟΛΥΜΑΤΟΣ ΙΝΤΕΡΝΑΣΙΟΝΑΛ ΑΕΒΕ"</f>
        <v>ΓΕΡΟΛΥΜΑΤΟΣ ΙΝΤΕΡΝΑΣΙΟΝΑΛ ΑΕΒΕ</v>
      </c>
      <c r="C402" s="21" t="str">
        <f>"32865"</f>
        <v>32865</v>
      </c>
      <c r="D402" s="22" t="str">
        <f>"300650358781"</f>
        <v>300650358781</v>
      </c>
      <c r="E402" s="22" t="str">
        <f>"AOSEPT PLUS 360ML"</f>
        <v>AOSEPT PLUS 360ML</v>
      </c>
      <c r="F402" s="19">
        <v>10.5</v>
      </c>
      <c r="G402" s="24">
        <v>0.1</v>
      </c>
      <c r="H402" s="23">
        <f t="shared" si="20"/>
        <v>9.4499999999999993</v>
      </c>
      <c r="I402" s="22"/>
      <c r="J402" s="36" t="s">
        <v>31</v>
      </c>
    </row>
    <row r="403" spans="1:10" ht="15" customHeight="1" x14ac:dyDescent="0.25">
      <c r="A403" s="25">
        <v>300650363198</v>
      </c>
      <c r="B403" s="40" t="str">
        <f>"ΓΕΡΟΛΥΜΑΤΟΣ ΙΝΤΕΡΝΑΣΙΟΝΑΛ ΑΕΒΕ"</f>
        <v>ΓΕΡΟΛΥΜΑΤΟΣ ΙΝΤΕΡΝΑΣΙΟΝΑΛ ΑΕΒΕ</v>
      </c>
      <c r="C403" s="25" t="str">
        <f>"32866"</f>
        <v>32866</v>
      </c>
      <c r="D403" s="18" t="str">
        <f>"300650363198"</f>
        <v>300650363198</v>
      </c>
      <c r="E403" s="18" t="str">
        <f>"AOSEPT PLUS HYDRAGLYDE 360ML"</f>
        <v>AOSEPT PLUS HYDRAGLYDE 360ML</v>
      </c>
      <c r="F403" s="19">
        <v>11.5</v>
      </c>
      <c r="G403" s="20">
        <v>0.1</v>
      </c>
      <c r="H403" s="19">
        <f t="shared" si="20"/>
        <v>10.35</v>
      </c>
      <c r="I403" s="18"/>
      <c r="J403" s="34"/>
    </row>
    <row r="404" spans="1:10" ht="15" customHeight="1" x14ac:dyDescent="0.25">
      <c r="A404" s="25">
        <v>300656144067</v>
      </c>
      <c r="B404" s="40" t="str">
        <f>"ΓΕΡΟΛΥΜΑΤΟΣ ΙΝΤΕΡΝΑΣΙΟΝΑΛ ΑΕΒΕ"</f>
        <v>ΓΕΡΟΛΥΜΑΤΟΣ ΙΝΤΕΡΝΑΣΙΟΝΑΛ ΑΕΒΕ</v>
      </c>
      <c r="C404" s="25" t="str">
        <f>"0722"</f>
        <v>0722</v>
      </c>
      <c r="D404" s="18" t="str">
        <f>"300656144067"</f>
        <v>300656144067</v>
      </c>
      <c r="E404" s="18" t="str">
        <f>"OPTI-FREE EXPRESS 355ML"</f>
        <v>OPTI-FREE EXPRESS 355ML</v>
      </c>
      <c r="F404" s="19">
        <v>7.3</v>
      </c>
      <c r="G404" s="20">
        <v>0.15</v>
      </c>
      <c r="H404" s="19">
        <f t="shared" si="20"/>
        <v>6.2050000000000001</v>
      </c>
      <c r="I404" s="18"/>
      <c r="J404" s="34" t="s">
        <v>57</v>
      </c>
    </row>
    <row r="405" spans="1:10" ht="15" customHeight="1" x14ac:dyDescent="0.25">
      <c r="A405" s="25">
        <v>300650361705</v>
      </c>
      <c r="B405" s="40" t="str">
        <f>"ΓΕΡΟΛΥΜΑΤΟΣ ΙΝΤΕΡΝΑΣΙΟΝΑΛ ΑΕΒΕ"</f>
        <v>ΓΕΡΟΛΥΜΑΤΟΣ ΙΝΤΕΡΝΑΣΙΟΝΑΛ ΑΕΒΕ</v>
      </c>
      <c r="C405" s="25" t="str">
        <f>"32867"</f>
        <v>32867</v>
      </c>
      <c r="D405" s="18" t="str">
        <f>"300650361705"</f>
        <v>300650361705</v>
      </c>
      <c r="E405" s="18" t="str">
        <f>"OPTI-FREE PUREMOIST 300ML"</f>
        <v>OPTI-FREE PUREMOIST 300ML</v>
      </c>
      <c r="F405" s="19">
        <v>11</v>
      </c>
      <c r="G405" s="20">
        <v>0.12</v>
      </c>
      <c r="H405" s="19">
        <f t="shared" si="20"/>
        <v>9.68</v>
      </c>
      <c r="I405" s="18"/>
      <c r="J405" s="34" t="s">
        <v>9</v>
      </c>
    </row>
    <row r="406" spans="1:10" ht="15" customHeight="1" thickBot="1" x14ac:dyDescent="0.3">
      <c r="A406" s="26">
        <v>300650361675</v>
      </c>
      <c r="B406" s="132" t="str">
        <f>"ΓΕΡΟΛΥΜΑΤΟΣ ΙΝΤΕΡΝΑΣΙΟΝΑΛ ΑΕΒΕ"</f>
        <v>ΓΕΡΟΛΥΜΑΤΟΣ ΙΝΤΕΡΝΑΣΙΟΝΑΛ ΑΕΒΕ</v>
      </c>
      <c r="C406" s="26" t="str">
        <f>"32868"</f>
        <v>32868</v>
      </c>
      <c r="D406" s="27" t="str">
        <f>"300650361675"</f>
        <v>300650361675</v>
      </c>
      <c r="E406" s="27" t="str">
        <f>"OPTI-FREE PUREMOIST 90ML"</f>
        <v>OPTI-FREE PUREMOIST 90ML</v>
      </c>
      <c r="F406" s="19">
        <v>6</v>
      </c>
      <c r="G406" s="29">
        <v>0.12</v>
      </c>
      <c r="H406" s="28">
        <f t="shared" si="20"/>
        <v>5.28</v>
      </c>
      <c r="I406" s="27"/>
      <c r="J406" s="35"/>
    </row>
    <row r="407" spans="1:10" s="2" customFormat="1" ht="15" customHeight="1" x14ac:dyDescent="0.25">
      <c r="A407" s="6">
        <v>5205642511111</v>
      </c>
      <c r="B407" s="129" t="str">
        <f t="shared" ref="B407:B413" si="25">"ΕΡΓΑΝΗ Α.Ε."</f>
        <v>ΕΡΓΑΝΗ Α.Ε.</v>
      </c>
      <c r="C407" s="55" t="str">
        <f>"56425"</f>
        <v>56425</v>
      </c>
      <c r="D407" s="47" t="str">
        <f>"5205642511111"</f>
        <v>5205642511111</v>
      </c>
      <c r="E407" s="47" t="str">
        <f>"OCUSOFT OUST DEMODEX CLEANSER 50ML"</f>
        <v>OCUSOFT OUST DEMODEX CLEANSER 50ML</v>
      </c>
      <c r="F407" s="19">
        <v>14</v>
      </c>
      <c r="G407" s="48">
        <v>7.0000000000000007E-2</v>
      </c>
      <c r="H407" s="42">
        <f t="shared" si="20"/>
        <v>13.02</v>
      </c>
      <c r="I407" s="47"/>
      <c r="J407" s="224" t="s">
        <v>53</v>
      </c>
    </row>
    <row r="408" spans="1:10" s="2" customFormat="1" ht="15" customHeight="1" x14ac:dyDescent="0.25">
      <c r="A408" s="10">
        <v>157181043088</v>
      </c>
      <c r="B408" s="39" t="str">
        <f t="shared" si="25"/>
        <v>ΕΡΓΑΝΗ Α.Ε.</v>
      </c>
      <c r="C408" s="10" t="str">
        <f>"026895"</f>
        <v>026895</v>
      </c>
      <c r="D408" s="3" t="str">
        <f>"0157181043088"</f>
        <v>0157181043088</v>
      </c>
      <c r="E408" s="3" t="str">
        <f>"OCUSOFT PLUS EYELID CLEANS.PADS 30TEM"</f>
        <v>OCUSOFT PLUS EYELID CLEANS.PADS 30TEM</v>
      </c>
      <c r="F408" s="19">
        <v>11.7</v>
      </c>
      <c r="G408" s="5">
        <v>0.04</v>
      </c>
      <c r="H408" s="19">
        <f t="shared" si="20"/>
        <v>11.231999999999999</v>
      </c>
      <c r="I408" s="3"/>
      <c r="J408" s="224"/>
    </row>
    <row r="409" spans="1:10" s="2" customFormat="1" ht="15" customHeight="1" x14ac:dyDescent="0.25">
      <c r="A409" s="10">
        <v>5200240721115</v>
      </c>
      <c r="B409" s="39" t="str">
        <f t="shared" si="25"/>
        <v>ΕΡΓΑΝΗ Α.Ε.</v>
      </c>
      <c r="C409" s="10" t="str">
        <f>"024072"</f>
        <v>024072</v>
      </c>
      <c r="D409" s="3" t="str">
        <f>"5200240721115"</f>
        <v>5200240721115</v>
      </c>
      <c r="E409" s="3" t="str">
        <f>"OCUSOFT PLUS ΑΦΡΟΣ ΚΑΘ. ΒΛΕΦΑΡΙΔΩΝ 50ML"</f>
        <v>OCUSOFT PLUS ΑΦΡΟΣ ΚΑΘ. ΒΛΕΦΑΡΙΔΩΝ 50ML</v>
      </c>
      <c r="F409" s="19">
        <v>11.7</v>
      </c>
      <c r="G409" s="5">
        <v>0.04</v>
      </c>
      <c r="H409" s="19">
        <f t="shared" si="20"/>
        <v>11.231999999999999</v>
      </c>
      <c r="I409" s="3"/>
      <c r="J409" s="224"/>
    </row>
    <row r="410" spans="1:10" s="2" customFormat="1" ht="15" customHeight="1" thickBot="1" x14ac:dyDescent="0.3">
      <c r="A410" s="11">
        <v>15718303077</v>
      </c>
      <c r="B410" s="130" t="str">
        <f t="shared" si="25"/>
        <v>ΕΡΓΑΝΗ Α.Ε.</v>
      </c>
      <c r="C410" s="15" t="str">
        <f>"62485"</f>
        <v>62485</v>
      </c>
      <c r="D410" s="16" t="str">
        <f>"015718303077"</f>
        <v>015718303077</v>
      </c>
      <c r="E410" s="16" t="str">
        <f>"OCUSOFT SOFT EYELID CLEANS. PADS 7TEM."</f>
        <v>OCUSOFT SOFT EYELID CLEANS. PADS 7TEM.</v>
      </c>
      <c r="F410" s="19">
        <v>6</v>
      </c>
      <c r="G410" s="17">
        <v>0.04</v>
      </c>
      <c r="H410" s="32">
        <f t="shared" si="20"/>
        <v>5.76</v>
      </c>
      <c r="I410" s="16"/>
      <c r="J410" s="224"/>
    </row>
    <row r="411" spans="1:10" ht="15" customHeight="1" x14ac:dyDescent="0.25">
      <c r="A411" s="21">
        <v>8032646011326</v>
      </c>
      <c r="B411" s="131" t="str">
        <f t="shared" si="25"/>
        <v>ΕΡΓΑΝΗ Α.Ε.</v>
      </c>
      <c r="C411" s="21" t="str">
        <f>"62449"</f>
        <v>62449</v>
      </c>
      <c r="D411" s="22" t="str">
        <f>"8032646011326"</f>
        <v>8032646011326</v>
      </c>
      <c r="E411" s="22" t="str">
        <f>"WET FORTE 10ML"</f>
        <v>WET FORTE 10ML</v>
      </c>
      <c r="F411" s="19">
        <v>7.8</v>
      </c>
      <c r="G411" s="24">
        <v>0.04</v>
      </c>
      <c r="H411" s="23">
        <f t="shared" si="20"/>
        <v>7.4879999999999995</v>
      </c>
      <c r="I411" s="22"/>
      <c r="J411" s="221" t="s">
        <v>53</v>
      </c>
    </row>
    <row r="412" spans="1:10" ht="15" customHeight="1" x14ac:dyDescent="0.25">
      <c r="A412" s="25">
        <v>8032646010183</v>
      </c>
      <c r="B412" s="40" t="str">
        <f t="shared" si="25"/>
        <v>ΕΡΓΑΝΗ Α.Ε.</v>
      </c>
      <c r="C412" s="25" t="str">
        <f>"065"</f>
        <v>065</v>
      </c>
      <c r="D412" s="18" t="str">
        <f>"8032646010183"</f>
        <v>8032646010183</v>
      </c>
      <c r="E412" s="18" t="str">
        <f>"WET MONODOSE 0,4ML X 20"</f>
        <v>WET MONODOSE 0,4ML X 20</v>
      </c>
      <c r="F412" s="19">
        <v>8.1999999999999993</v>
      </c>
      <c r="G412" s="20">
        <v>0.04</v>
      </c>
      <c r="H412" s="19">
        <f t="shared" si="20"/>
        <v>7.871999999999999</v>
      </c>
      <c r="I412" s="18"/>
      <c r="J412" s="218"/>
    </row>
    <row r="413" spans="1:10" ht="15" customHeight="1" thickBot="1" x14ac:dyDescent="0.3">
      <c r="A413" s="26">
        <v>8032646012064</v>
      </c>
      <c r="B413" s="132" t="str">
        <f t="shared" si="25"/>
        <v>ΕΡΓΑΝΗ Α.Ε.</v>
      </c>
      <c r="C413" s="26" t="str">
        <f>"003554"</f>
        <v>003554</v>
      </c>
      <c r="D413" s="27" t="str">
        <f>"8032646012064"</f>
        <v>8032646012064</v>
      </c>
      <c r="E413" s="27" t="str">
        <f>"WET THERAPY 20 X 0,4ML MONODOSE"</f>
        <v>WET THERAPY 20 X 0,4ML MONODOSE</v>
      </c>
      <c r="F413" s="19">
        <v>9</v>
      </c>
      <c r="G413" s="29">
        <v>0.04</v>
      </c>
      <c r="H413" s="28">
        <f t="shared" si="20"/>
        <v>8.64</v>
      </c>
      <c r="I413" s="27"/>
      <c r="J413" s="222"/>
    </row>
    <row r="414" spans="1:10" s="2" customFormat="1" ht="15" customHeight="1" x14ac:dyDescent="0.25">
      <c r="A414" s="6">
        <v>8033661805556</v>
      </c>
      <c r="B414" s="129" t="str">
        <f>"MEDCON ΚΟΡΩΝΗΣ  ΙΩΑΝΝΗΣ"</f>
        <v>MEDCON ΚΟΡΩΝΗΣ  ΙΩΑΝΝΗΣ</v>
      </c>
      <c r="C414" s="55" t="str">
        <f>"66825"</f>
        <v>66825</v>
      </c>
      <c r="D414" s="47" t="str">
        <f>"8033661805556"</f>
        <v>8033661805556</v>
      </c>
      <c r="E414" s="47" t="str">
        <f>"BLUGEL A FREE 10ML"</f>
        <v>BLUGEL A FREE 10ML</v>
      </c>
      <c r="F414" s="19">
        <v>8</v>
      </c>
      <c r="G414" s="48">
        <v>0.05</v>
      </c>
      <c r="H414" s="42">
        <f t="shared" si="20"/>
        <v>7.6</v>
      </c>
      <c r="I414" s="47"/>
      <c r="J414" s="173" t="s">
        <v>53</v>
      </c>
    </row>
    <row r="415" spans="1:10" s="2" customFormat="1" ht="15" customHeight="1" x14ac:dyDescent="0.25">
      <c r="A415" s="10">
        <v>8033661805549</v>
      </c>
      <c r="B415" s="39" t="str">
        <f>"MEDCON ΚΟΡΩΝΗΣ  ΙΩΑΝΝΗΣ"</f>
        <v>MEDCON ΚΟΡΩΝΗΣ  ΙΩΑΝΝΗΣ</v>
      </c>
      <c r="C415" s="10" t="str">
        <f>"12304"</f>
        <v>12304</v>
      </c>
      <c r="D415" s="3" t="str">
        <f>"8033661805549"</f>
        <v>8033661805549</v>
      </c>
      <c r="E415" s="3" t="str">
        <f>"EDENORM 5% COLL. 10ML"</f>
        <v>EDENORM 5% COLL. 10ML</v>
      </c>
      <c r="F415" s="19">
        <v>7</v>
      </c>
      <c r="G415" s="5">
        <v>0.05</v>
      </c>
      <c r="H415" s="19">
        <f t="shared" si="20"/>
        <v>6.65</v>
      </c>
      <c r="I415" s="3"/>
      <c r="J415" s="45" t="s">
        <v>53</v>
      </c>
    </row>
    <row r="416" spans="1:10" s="2" customFormat="1" ht="15" customHeight="1" x14ac:dyDescent="0.25">
      <c r="A416" s="10">
        <v>8032668871892</v>
      </c>
      <c r="B416" s="39" t="str">
        <f>"MEDCON ΚΟΡΩΝΗΣ  ΙΩΑΝΝΗΣ"</f>
        <v>MEDCON ΚΟΡΩΝΗΣ  ΙΩΑΝΝΗΣ</v>
      </c>
      <c r="C416" s="10" t="s">
        <v>206</v>
      </c>
      <c r="D416" s="3" t="s">
        <v>207</v>
      </c>
      <c r="E416" s="3" t="s">
        <v>208</v>
      </c>
      <c r="F416" s="19">
        <v>4.8</v>
      </c>
      <c r="G416" s="5">
        <v>0.05</v>
      </c>
      <c r="H416" s="19">
        <f t="shared" si="20"/>
        <v>4.5599999999999996</v>
      </c>
      <c r="I416" s="3"/>
      <c r="J416" s="45" t="s">
        <v>53</v>
      </c>
    </row>
    <row r="417" spans="1:10" s="2" customFormat="1" ht="15" customHeight="1" x14ac:dyDescent="0.25">
      <c r="A417" s="10">
        <v>8032668871366</v>
      </c>
      <c r="B417" s="39" t="str">
        <f>"MEDCON ΚΟΡΩΝΗΣ  ΙΩΑΝΝΗΣ"</f>
        <v>MEDCON ΚΟΡΩΝΗΣ  ΙΩΑΝΝΗΣ</v>
      </c>
      <c r="C417" s="10" t="str">
        <f>"70665"</f>
        <v>70665</v>
      </c>
      <c r="D417" s="3" t="str">
        <f>"8032668871366"</f>
        <v>8032668871366</v>
      </c>
      <c r="E417" s="3" t="str">
        <f>"HYDRAMED NIGHT SENSITIVE 5GR ΟΦΘΑΛ. ΑΛΟΙΦΗ"</f>
        <v>HYDRAMED NIGHT SENSITIVE 5GR ΟΦΘΑΛ. ΑΛΟΙΦΗ</v>
      </c>
      <c r="F417" s="19">
        <v>6.2</v>
      </c>
      <c r="G417" s="5">
        <v>0.05</v>
      </c>
      <c r="H417" s="19">
        <f t="shared" si="20"/>
        <v>5.8900000000000006</v>
      </c>
      <c r="I417" s="3"/>
      <c r="J417" s="45" t="s">
        <v>53</v>
      </c>
    </row>
    <row r="418" spans="1:10" s="2" customFormat="1" ht="15" customHeight="1" thickBot="1" x14ac:dyDescent="0.3">
      <c r="A418" s="11">
        <v>8033661805563</v>
      </c>
      <c r="B418" s="130" t="str">
        <f>"MEDCON ΚΟΡΩΝΗΣ  ΙΩΑΝΝΗΣ"</f>
        <v>MEDCON ΚΟΡΩΝΗΣ  ΙΩΑΝΝΗΣ</v>
      </c>
      <c r="C418" s="15" t="str">
        <f>"66045"</f>
        <v>66045</v>
      </c>
      <c r="D418" s="16" t="str">
        <f>"8033661805563"</f>
        <v>8033661805563</v>
      </c>
      <c r="E418" s="16" t="str">
        <f>"IRIDIUM A FREE COLL.10ML"</f>
        <v>IRIDIUM A FREE COLL.10ML</v>
      </c>
      <c r="F418" s="19">
        <v>8</v>
      </c>
      <c r="G418" s="17">
        <v>0.05</v>
      </c>
      <c r="H418" s="32">
        <f t="shared" si="20"/>
        <v>7.6</v>
      </c>
      <c r="I418" s="16"/>
      <c r="J418" s="174" t="s">
        <v>53</v>
      </c>
    </row>
    <row r="419" spans="1:10" ht="15" customHeight="1" thickBot="1" x14ac:dyDescent="0.3">
      <c r="A419" s="61">
        <v>8016887001063</v>
      </c>
      <c r="B419" s="136" t="str">
        <f>"HEALTH PLUS A.E."</f>
        <v>HEALTH PLUS A.E.</v>
      </c>
      <c r="C419" s="61" t="str">
        <f>"050306"</f>
        <v>050306</v>
      </c>
      <c r="D419" s="62" t="str">
        <f>"8016887001063"</f>
        <v>8016887001063</v>
      </c>
      <c r="E419" s="62" t="str">
        <f>"OTOSAN ΚΩΝΟΙ ΚΑΘ/ΣΜΟΥ ΑΥΤΙΩΝ"</f>
        <v>OTOSAN ΚΩΝΟΙ ΚΑΘ/ΣΜΟΥ ΑΥΤΙΩΝ</v>
      </c>
      <c r="F419" s="19">
        <v>5.25</v>
      </c>
      <c r="G419" s="64">
        <v>0.1</v>
      </c>
      <c r="H419" s="63">
        <f t="shared" ref="H419:H483" si="26">F419-F419*G419</f>
        <v>4.7249999999999996</v>
      </c>
      <c r="I419" s="62"/>
      <c r="J419" s="98" t="s">
        <v>21</v>
      </c>
    </row>
    <row r="420" spans="1:10" ht="15" customHeight="1" x14ac:dyDescent="0.25">
      <c r="A420" s="6">
        <v>5204000089330</v>
      </c>
      <c r="B420" s="129" t="str">
        <f>"RAFARM AEBE"</f>
        <v>RAFARM AEBE</v>
      </c>
      <c r="C420" s="55" t="str">
        <f>"37679"</f>
        <v>37679</v>
      </c>
      <c r="D420" s="47" t="str">
        <f>"5204000089330"</f>
        <v>5204000089330</v>
      </c>
      <c r="E420" s="47" t="str">
        <f>"HYAL 0,2% COLL. 10ML"</f>
        <v>HYAL 0,2% COLL. 10ML</v>
      </c>
      <c r="F420" s="19">
        <v>7</v>
      </c>
      <c r="G420" s="48">
        <v>0.08</v>
      </c>
      <c r="H420" s="42">
        <f t="shared" si="26"/>
        <v>6.4399999999999995</v>
      </c>
      <c r="I420" s="47"/>
      <c r="J420" s="224" t="s">
        <v>11</v>
      </c>
    </row>
    <row r="421" spans="1:10" ht="15" customHeight="1" thickBot="1" x14ac:dyDescent="0.3">
      <c r="A421" s="11">
        <v>5212001123892</v>
      </c>
      <c r="B421" s="130" t="str">
        <f>"RAFARM AEBE"</f>
        <v>RAFARM AEBE</v>
      </c>
      <c r="C421" s="15" t="str">
        <f>"37680"</f>
        <v>37680</v>
      </c>
      <c r="D421" s="16" t="str">
        <f>"5212001123892"</f>
        <v>5212001123892</v>
      </c>
      <c r="E421" s="16" t="str">
        <f>"HYAL PLUS 0,4% COLL. 10ML"</f>
        <v>HYAL PLUS 0,4% COLL. 10ML</v>
      </c>
      <c r="F421" s="19">
        <v>9</v>
      </c>
      <c r="G421" s="17">
        <v>0.08</v>
      </c>
      <c r="H421" s="32">
        <f t="shared" si="26"/>
        <v>8.2799999999999994</v>
      </c>
      <c r="I421" s="16"/>
      <c r="J421" s="224"/>
    </row>
    <row r="422" spans="1:10" s="2" customFormat="1" ht="15" customHeight="1" x14ac:dyDescent="0.25">
      <c r="A422" s="21">
        <v>8002140050978</v>
      </c>
      <c r="B422" s="131" t="str">
        <f>"HEALTH PLUS A.E."</f>
        <v>HEALTH PLUS A.E.</v>
      </c>
      <c r="C422" s="21" t="str">
        <f>"053817"</f>
        <v>053817</v>
      </c>
      <c r="D422" s="22" t="str">
        <f>"8002140050978"</f>
        <v>8002140050978</v>
      </c>
      <c r="E422" s="22" t="str">
        <f>"CUPRA ΚΡΕΜΑ ΧΕΡΙΩΝ 75ML"</f>
        <v>CUPRA ΚΡΕΜΑ ΧΕΡΙΩΝ 75ML</v>
      </c>
      <c r="F422" s="19">
        <v>1.3</v>
      </c>
      <c r="G422" s="24">
        <v>0.15</v>
      </c>
      <c r="H422" s="23">
        <f t="shared" si="26"/>
        <v>1.105</v>
      </c>
      <c r="I422" s="22"/>
      <c r="J422" s="221" t="s">
        <v>74</v>
      </c>
    </row>
    <row r="423" spans="1:10" s="2" customFormat="1" ht="15" customHeight="1" thickBot="1" x14ac:dyDescent="0.3">
      <c r="A423" s="26">
        <v>8002140050947</v>
      </c>
      <c r="B423" s="132" t="str">
        <f>"HEALTH PLUS A.E."</f>
        <v>HEALTH PLUS A.E.</v>
      </c>
      <c r="C423" s="26" t="str">
        <f>"35521"</f>
        <v>35521</v>
      </c>
      <c r="D423" s="27" t="str">
        <f>"8002140050947"</f>
        <v>8002140050947</v>
      </c>
      <c r="E423" s="27" t="str">
        <f>"CUPRA ΚΡΕΜΑ ΧΕΡΙΩΝ PLUS 75ML"</f>
        <v>CUPRA ΚΡΕΜΑ ΧΕΡΙΩΝ PLUS 75ML</v>
      </c>
      <c r="F423" s="19">
        <v>1.75</v>
      </c>
      <c r="G423" s="29">
        <v>0.15</v>
      </c>
      <c r="H423" s="28">
        <f t="shared" si="26"/>
        <v>1.4875</v>
      </c>
      <c r="I423" s="27"/>
      <c r="J423" s="222"/>
    </row>
    <row r="424" spans="1:10" ht="15" customHeight="1" x14ac:dyDescent="0.25">
      <c r="A424" s="6">
        <v>3574660258264</v>
      </c>
      <c r="B424" s="129" t="str">
        <f>"JOHNSON &amp; JOHNSON ΕΛΛΑΣ Α.Ε.E"</f>
        <v>JOHNSON &amp; JOHNSON ΕΛΛΑΣ Α.Ε.E</v>
      </c>
      <c r="C424" s="55" t="str">
        <f>"32259"</f>
        <v>32259</v>
      </c>
      <c r="D424" s="47" t="str">
        <f>"3574660258264"</f>
        <v>3574660258264</v>
      </c>
      <c r="E424" s="47" t="str">
        <f>"NEUTROGENA HAND CREAM SC 75ML(ΜΠΛΕ)"</f>
        <v>NEUTROGENA HAND CREAM SC 75ML(ΜΠΛΕ)</v>
      </c>
      <c r="F424" s="19">
        <v>3.73</v>
      </c>
      <c r="G424" s="48">
        <v>0.2</v>
      </c>
      <c r="H424" s="42">
        <f t="shared" si="26"/>
        <v>2.984</v>
      </c>
      <c r="I424" s="47"/>
      <c r="J424" s="226" t="s">
        <v>78</v>
      </c>
    </row>
    <row r="425" spans="1:10" ht="15" customHeight="1" thickBot="1" x14ac:dyDescent="0.3">
      <c r="A425" s="11">
        <v>3574660258288</v>
      </c>
      <c r="B425" s="130" t="str">
        <f>"JOHNSON &amp; JOHNSON ΕΛΛΑΣ Α.Ε.E"</f>
        <v>JOHNSON &amp; JOHNSON ΕΛΛΑΣ Α.Ε.E</v>
      </c>
      <c r="C425" s="15" t="str">
        <f>"02426"</f>
        <v>02426</v>
      </c>
      <c r="D425" s="16" t="str">
        <f>"3574660258288"</f>
        <v>3574660258288</v>
      </c>
      <c r="E425" s="16" t="str">
        <f>"NEUTROGENA HAND CREAM UNSC 75ML (ΚΟΚΚΙΝΗ)"</f>
        <v>NEUTROGENA HAND CREAM UNSC 75ML (ΚΟΚΚΙΝΗ)</v>
      </c>
      <c r="F425" s="19">
        <v>3.73</v>
      </c>
      <c r="G425" s="17">
        <v>0.2</v>
      </c>
      <c r="H425" s="32">
        <f t="shared" si="26"/>
        <v>2.984</v>
      </c>
      <c r="I425" s="16"/>
      <c r="J425" s="226"/>
    </row>
    <row r="426" spans="1:10" ht="15" customHeight="1" thickBot="1" x14ac:dyDescent="0.3">
      <c r="A426" s="51">
        <v>3574661610450</v>
      </c>
      <c r="B426" s="128" t="str">
        <f>"JOHNSON &amp; JOHNSON ΕΛΛΑΣ Α.Ε.E"</f>
        <v>JOHNSON &amp; JOHNSON ΕΛΛΑΣ Α.Ε.E</v>
      </c>
      <c r="C426" s="51" t="str">
        <f>"0507"</f>
        <v>0507</v>
      </c>
      <c r="D426" s="52" t="str">
        <f>"3574661610450"</f>
        <v>3574661610450</v>
      </c>
      <c r="E426" s="52" t="str">
        <f>"NEUTROGENA LIPCARE 4,8GR (1+1)"</f>
        <v>NEUTROGENA LIPCARE 4,8GR (1+1)</v>
      </c>
      <c r="F426" s="19">
        <v>2.78</v>
      </c>
      <c r="G426" s="53">
        <v>0.08</v>
      </c>
      <c r="H426" s="63">
        <f t="shared" si="26"/>
        <v>2.5575999999999999</v>
      </c>
      <c r="I426" s="52"/>
      <c r="J426" s="54" t="s">
        <v>52</v>
      </c>
    </row>
    <row r="427" spans="1:10" ht="15" customHeight="1" thickBot="1" x14ac:dyDescent="0.3">
      <c r="A427" s="61">
        <v>4005900948007</v>
      </c>
      <c r="B427" s="136" t="str">
        <f>"BEIERSDORF HELLAS AE"</f>
        <v>BEIERSDORF HELLAS AE</v>
      </c>
      <c r="C427" s="72" t="str">
        <f>"1068"</f>
        <v>1068</v>
      </c>
      <c r="D427" s="73" t="str">
        <f>"4005900948007"</f>
        <v>4005900948007</v>
      </c>
      <c r="E427" s="73" t="str">
        <f>"NIVEA CREME 75ML"</f>
        <v>NIVEA CREME 75ML</v>
      </c>
      <c r="F427" s="19">
        <v>2.1</v>
      </c>
      <c r="G427" s="75">
        <v>0.12</v>
      </c>
      <c r="H427" s="74">
        <f t="shared" si="26"/>
        <v>1.8480000000000001</v>
      </c>
      <c r="I427" s="73"/>
      <c r="J427" s="108" t="s">
        <v>9</v>
      </c>
    </row>
    <row r="428" spans="1:10" ht="15" customHeight="1" x14ac:dyDescent="0.25">
      <c r="A428" s="6">
        <v>3574669908504</v>
      </c>
      <c r="B428" s="129" t="s">
        <v>5</v>
      </c>
      <c r="C428" s="6" t="str">
        <f>"32981"</f>
        <v>32981</v>
      </c>
      <c r="D428" s="7" t="str">
        <f>"3574669908504"</f>
        <v>3574669908504</v>
      </c>
      <c r="E428" s="7" t="str">
        <f>"JOHNSON BABY OIL 300ML ALOE"</f>
        <v>JOHNSON BABY OIL 300ML ALOE</v>
      </c>
      <c r="F428" s="19">
        <v>4.0199999999999996</v>
      </c>
      <c r="G428" s="9">
        <v>0.3</v>
      </c>
      <c r="H428" s="23">
        <f t="shared" si="26"/>
        <v>2.8140000000000001</v>
      </c>
      <c r="I428" s="7"/>
      <c r="J428" s="219" t="s">
        <v>76</v>
      </c>
    </row>
    <row r="429" spans="1:10" ht="15" customHeight="1" x14ac:dyDescent="0.25">
      <c r="A429" s="10">
        <v>3574669909204</v>
      </c>
      <c r="B429" s="39" t="s">
        <v>5</v>
      </c>
      <c r="C429" s="10" t="str">
        <f>"04426"</f>
        <v>04426</v>
      </c>
      <c r="D429" s="3" t="str">
        <f>"3574669909204"</f>
        <v>3574669909204</v>
      </c>
      <c r="E429" s="3" t="str">
        <f>"JOHNSON BABY OIL 300ML REGULAR"</f>
        <v>JOHNSON BABY OIL 300ML REGULAR</v>
      </c>
      <c r="F429" s="19">
        <v>4.0199999999999996</v>
      </c>
      <c r="G429" s="5">
        <v>0.3</v>
      </c>
      <c r="H429" s="19">
        <f t="shared" si="26"/>
        <v>2.8140000000000001</v>
      </c>
      <c r="I429" s="3"/>
      <c r="J429" s="224"/>
    </row>
    <row r="430" spans="1:10" ht="15" customHeight="1" x14ac:dyDescent="0.25">
      <c r="A430" s="10">
        <v>3574669907828</v>
      </c>
      <c r="B430" s="39" t="s">
        <v>5</v>
      </c>
      <c r="C430" s="10" t="str">
        <f>"1856"</f>
        <v>1856</v>
      </c>
      <c r="D430" s="3" t="str">
        <f>"3574669907828"</f>
        <v>3574669907828</v>
      </c>
      <c r="E430" s="3" t="str">
        <f>"JOHNSON BABY SHAMPOO 300ML"</f>
        <v>JOHNSON BABY SHAMPOO 300ML</v>
      </c>
      <c r="F430" s="19">
        <v>2.41</v>
      </c>
      <c r="G430" s="5">
        <v>0.3</v>
      </c>
      <c r="H430" s="19">
        <f t="shared" si="26"/>
        <v>1.6870000000000003</v>
      </c>
      <c r="I430" s="3"/>
      <c r="J430" s="224"/>
    </row>
    <row r="431" spans="1:10" ht="15" customHeight="1" thickBot="1" x14ac:dyDescent="0.3">
      <c r="A431" s="11">
        <v>3574660026788</v>
      </c>
      <c r="B431" s="130" t="s">
        <v>5</v>
      </c>
      <c r="C431" s="11" t="str">
        <f>"04431"</f>
        <v>04431</v>
      </c>
      <c r="D431" s="12" t="str">
        <f>"3574660026788"</f>
        <v>3574660026788</v>
      </c>
      <c r="E431" s="12" t="str">
        <f>"JOHNSON POWDER 200GR"</f>
        <v>JOHNSON POWDER 200GR</v>
      </c>
      <c r="F431" s="19">
        <v>2.41</v>
      </c>
      <c r="G431" s="14">
        <v>0.3</v>
      </c>
      <c r="H431" s="28">
        <f t="shared" si="26"/>
        <v>1.6870000000000003</v>
      </c>
      <c r="I431" s="12"/>
      <c r="J431" s="220"/>
    </row>
    <row r="432" spans="1:10" ht="15" customHeight="1" x14ac:dyDescent="0.25">
      <c r="A432" s="21">
        <v>3574661491080</v>
      </c>
      <c r="B432" s="131" t="s">
        <v>5</v>
      </c>
      <c r="C432" s="57" t="str">
        <f>"02297"</f>
        <v>02297</v>
      </c>
      <c r="D432" s="41" t="str">
        <f>"3574661491080"</f>
        <v>3574661491080</v>
      </c>
      <c r="E432" s="41" t="str">
        <f>"PENATEN CREAM 150ML"</f>
        <v>PENATEN CREAM 150ML</v>
      </c>
      <c r="F432" s="19">
        <v>4.08</v>
      </c>
      <c r="G432" s="43">
        <v>0.09</v>
      </c>
      <c r="H432" s="42">
        <f t="shared" si="26"/>
        <v>3.7128000000000001</v>
      </c>
      <c r="I432" s="41"/>
      <c r="J432" s="218" t="s">
        <v>49</v>
      </c>
    </row>
    <row r="433" spans="1:10" ht="15" customHeight="1" thickBot="1" x14ac:dyDescent="0.3">
      <c r="A433" s="26">
        <v>3574661491097</v>
      </c>
      <c r="B433" s="132" t="s">
        <v>5</v>
      </c>
      <c r="C433" s="30" t="str">
        <f>"02770"</f>
        <v>02770</v>
      </c>
      <c r="D433" s="31" t="str">
        <f>"3574661491097"</f>
        <v>3574661491097</v>
      </c>
      <c r="E433" s="31" t="str">
        <f>"PENATEN CREAM 50ML"</f>
        <v>PENATEN CREAM 50ML</v>
      </c>
      <c r="F433" s="19">
        <v>2.36</v>
      </c>
      <c r="G433" s="33">
        <v>0.09</v>
      </c>
      <c r="H433" s="32">
        <f t="shared" si="26"/>
        <v>2.1475999999999997</v>
      </c>
      <c r="I433" s="31"/>
      <c r="J433" s="218"/>
    </row>
    <row r="434" spans="1:10" ht="15" customHeight="1" x14ac:dyDescent="0.25">
      <c r="A434" s="6">
        <v>5203275407917</v>
      </c>
      <c r="B434" s="129" t="str">
        <f>"ΒΙΑΝ Α.Ε"</f>
        <v>ΒΙΑΝ Α.Ε</v>
      </c>
      <c r="C434" s="6" t="str">
        <f>"0627"</f>
        <v>0627</v>
      </c>
      <c r="D434" s="7" t="str">
        <f>"5203275407917"</f>
        <v>5203275407917</v>
      </c>
      <c r="E434" s="7" t="str">
        <f>"SUDOCREM 125GR"</f>
        <v>SUDOCREM 125GR</v>
      </c>
      <c r="F434" s="19">
        <v>4.4800000000000004</v>
      </c>
      <c r="G434" s="9">
        <v>0.08</v>
      </c>
      <c r="H434" s="23">
        <f t="shared" si="26"/>
        <v>4.1216000000000008</v>
      </c>
      <c r="I434" s="7"/>
      <c r="J434" s="219" t="s">
        <v>49</v>
      </c>
    </row>
    <row r="435" spans="1:10" ht="15" customHeight="1" thickBot="1" x14ac:dyDescent="0.3">
      <c r="A435" s="11">
        <v>5203275407924</v>
      </c>
      <c r="B435" s="130" t="str">
        <f>"ΒΙΑΝ Α.Ε"</f>
        <v>ΒΙΑΝ Α.Ε</v>
      </c>
      <c r="C435" s="11" t="str">
        <f>"050731"</f>
        <v>050731</v>
      </c>
      <c r="D435" s="12" t="str">
        <f>"5203275407924"</f>
        <v>5203275407924</v>
      </c>
      <c r="E435" s="12" t="str">
        <f>"SUDOCREM 250GR"</f>
        <v>SUDOCREM 250GR</v>
      </c>
      <c r="F435" s="19">
        <v>7.5</v>
      </c>
      <c r="G435" s="14">
        <v>0.08</v>
      </c>
      <c r="H435" s="28">
        <f t="shared" si="26"/>
        <v>6.9</v>
      </c>
      <c r="I435" s="12"/>
      <c r="J435" s="220"/>
    </row>
    <row r="436" spans="1:10" ht="15" customHeight="1" thickBot="1" x14ac:dyDescent="0.3">
      <c r="A436" s="30">
        <v>8056300620075</v>
      </c>
      <c r="B436" s="133" t="str">
        <f>"MEDIHELM AE"</f>
        <v>MEDIHELM AE</v>
      </c>
      <c r="C436" s="72" t="str">
        <f>"22699"</f>
        <v>22699</v>
      </c>
      <c r="D436" s="73" t="str">
        <f>"8056300620075"</f>
        <v>8056300620075</v>
      </c>
      <c r="E436" s="73" t="str">
        <f>"MELATONIN SPRAY 12ML 60DOSES 1MG S.M."</f>
        <v>MELATONIN SPRAY 12ML 60DOSES 1MG S.M.</v>
      </c>
      <c r="F436" s="19">
        <v>10.5</v>
      </c>
      <c r="G436" s="75">
        <v>0.05</v>
      </c>
      <c r="H436" s="74">
        <f t="shared" si="26"/>
        <v>9.9749999999999996</v>
      </c>
      <c r="I436" s="73"/>
      <c r="J436" s="108" t="s">
        <v>30</v>
      </c>
    </row>
    <row r="437" spans="1:10" ht="15" customHeight="1" x14ac:dyDescent="0.25">
      <c r="A437" s="6">
        <v>5207071000105</v>
      </c>
      <c r="B437" s="129" t="str">
        <f>"WINMEDICA ΦΑΡΜΑΚΕΥΤΙΚΗ AE"</f>
        <v>WINMEDICA ΦΑΡΜΑΚΕΥΤΙΚΗ AE</v>
      </c>
      <c r="C437" s="6" t="str">
        <f>"50039"</f>
        <v>50039</v>
      </c>
      <c r="D437" s="7" t="str">
        <f>"5207071000105"</f>
        <v>5207071000105</v>
      </c>
      <c r="E437" s="7" t="str">
        <f>"ULTRAMAG ORO SACHETS 30x1,8G"</f>
        <v>ULTRAMAG ORO SACHETS 30x1,8G</v>
      </c>
      <c r="F437" s="19">
        <v>11.35</v>
      </c>
      <c r="G437" s="9">
        <v>0.05</v>
      </c>
      <c r="H437" s="23">
        <f t="shared" si="26"/>
        <v>10.782499999999999</v>
      </c>
      <c r="I437" s="7"/>
      <c r="J437" s="44"/>
    </row>
    <row r="438" spans="1:10" ht="15" customHeight="1" thickBot="1" x14ac:dyDescent="0.3">
      <c r="A438" s="15">
        <v>8050762830744</v>
      </c>
      <c r="B438" s="99" t="str">
        <f>"WINMEDICA ΦΑΡΜΑΚΕΥΤΙΚΗ AE"</f>
        <v>WINMEDICA ΦΑΡΜΑΚΕΥΤΙΚΗ AE</v>
      </c>
      <c r="C438" s="15" t="str">
        <f>"18140"</f>
        <v>18140</v>
      </c>
      <c r="D438" s="16" t="str">
        <f>"8050762830744"</f>
        <v>8050762830744</v>
      </c>
      <c r="E438" s="16" t="str">
        <f>"VALETONINA LONG (60 TABS) (VALERIANA+MELATONINH)"</f>
        <v>VALETONINA LONG (60 TABS) (VALERIANA+MELATONINH)</v>
      </c>
      <c r="F438" s="19">
        <v>10.95</v>
      </c>
      <c r="G438" s="17">
        <v>0.05</v>
      </c>
      <c r="H438" s="32">
        <f t="shared" si="26"/>
        <v>10.4025</v>
      </c>
      <c r="I438" s="16"/>
      <c r="J438" s="174"/>
    </row>
    <row r="439" spans="1:10" ht="15" customHeight="1" x14ac:dyDescent="0.25">
      <c r="A439" s="21">
        <v>5203036002276</v>
      </c>
      <c r="B439" s="22" t="str">
        <f t="shared" ref="B439:B445" si="27">"ΖΑΡΜΠΗ ΕI.&amp; ΣΙΑ Ε.Ε  (JOHNZ)"</f>
        <v>ΖΑΡΜΠΗ ΕI.&amp; ΣΙΑ Ε.Ε  (JOHNZ)</v>
      </c>
      <c r="C439" s="22" t="str">
        <f>"72505"</f>
        <v>72505</v>
      </c>
      <c r="D439" s="22" t="str">
        <f>"5203036002276"</f>
        <v>5203036002276</v>
      </c>
      <c r="E439" s="22" t="str">
        <f>"DIARANEY ΔΙΑΡΡΟΙΑ 15CAPS"</f>
        <v>DIARANEY ΔΙΑΡΡΟΙΑ 15CAPS</v>
      </c>
      <c r="F439" s="19">
        <v>3.61</v>
      </c>
      <c r="G439" s="24">
        <v>0.05</v>
      </c>
      <c r="H439" s="23">
        <f t="shared" si="26"/>
        <v>3.4295</v>
      </c>
      <c r="I439" s="22"/>
      <c r="J439" s="230" t="s">
        <v>135</v>
      </c>
    </row>
    <row r="440" spans="1:10" ht="15" customHeight="1" x14ac:dyDescent="0.25">
      <c r="A440" s="25">
        <v>5203036002146</v>
      </c>
      <c r="B440" s="18" t="str">
        <f t="shared" si="27"/>
        <v>ΖΑΡΜΠΗ ΕI.&amp; ΣΙΑ Ε.Ε  (JOHNZ)</v>
      </c>
      <c r="C440" s="18" t="str">
        <f>"41439"</f>
        <v>41439</v>
      </c>
      <c r="D440" s="18" t="str">
        <f>"5203036002146"</f>
        <v>5203036002146</v>
      </c>
      <c r="E440" s="18" t="str">
        <f>"LAXANEY (ΔΥΣΚΟΙΛΙΟΤΗΤΑ &amp;ΦΟΥΣΚΩΜΑ) 10MG 45TABS"</f>
        <v>LAXANEY (ΔΥΣΚΟΙΛΙΟΤΗΤΑ &amp;ΦΟΥΣΚΩΜΑ) 10MG 45TABS</v>
      </c>
      <c r="F440" s="19">
        <v>4.95</v>
      </c>
      <c r="G440" s="20">
        <v>0.05</v>
      </c>
      <c r="H440" s="19">
        <f t="shared" si="26"/>
        <v>4.7025000000000006</v>
      </c>
      <c r="I440" s="18"/>
      <c r="J440" s="231"/>
    </row>
    <row r="441" spans="1:10" ht="15" customHeight="1" x14ac:dyDescent="0.25">
      <c r="A441" s="25">
        <v>5203036002312</v>
      </c>
      <c r="B441" s="18" t="str">
        <f t="shared" si="27"/>
        <v>ΖΑΡΜΠΗ ΕI.&amp; ΣΙΑ Ε.Ε  (JOHNZ)</v>
      </c>
      <c r="C441" s="18" t="str">
        <f>"72506"</f>
        <v>72506</v>
      </c>
      <c r="D441" s="18" t="str">
        <f>"5203036002313"</f>
        <v>5203036002313</v>
      </c>
      <c r="E441" s="18" t="str">
        <f>"LAXANEY PREBIO JUNIOR GUMMIES ΚΕΡΑΣΙ 28TMX"</f>
        <v>LAXANEY PREBIO JUNIOR GUMMIES ΚΕΡΑΣΙ 28TMX</v>
      </c>
      <c r="F441" s="19">
        <v>5.9</v>
      </c>
      <c r="G441" s="20">
        <v>0.05</v>
      </c>
      <c r="H441" s="19">
        <f t="shared" ref="H441" si="28">F441-F441*G441</f>
        <v>5.6050000000000004</v>
      </c>
      <c r="I441" s="18"/>
      <c r="J441" s="231"/>
    </row>
    <row r="442" spans="1:10" ht="15" customHeight="1" x14ac:dyDescent="0.25">
      <c r="A442" s="25">
        <v>5203036002498</v>
      </c>
      <c r="B442" s="18" t="str">
        <f t="shared" si="27"/>
        <v>ΖΑΡΜΠΗ ΕI.&amp; ΣΙΑ Ε.Ε  (JOHNZ)</v>
      </c>
      <c r="C442" s="18" t="str">
        <f>"110505"</f>
        <v>110505</v>
      </c>
      <c r="D442" s="196" t="str">
        <f>"5203036002498"</f>
        <v>5203036002498</v>
      </c>
      <c r="E442" s="18" t="s">
        <v>184</v>
      </c>
      <c r="F442" s="19">
        <v>9.5500000000000007</v>
      </c>
      <c r="G442" s="20">
        <v>0.05</v>
      </c>
      <c r="H442" s="19">
        <f t="shared" ref="H442" si="29">F442-F442*G442</f>
        <v>9.0725000000000016</v>
      </c>
      <c r="I442" s="18"/>
      <c r="J442" s="231"/>
    </row>
    <row r="443" spans="1:10" ht="15" customHeight="1" thickBot="1" x14ac:dyDescent="0.3">
      <c r="A443" s="26">
        <v>5203036000654</v>
      </c>
      <c r="B443" s="27" t="str">
        <f t="shared" si="27"/>
        <v>ΖΑΡΜΠΗ ΕI.&amp; ΣΙΑ Ε.Ε  (JOHNZ)</v>
      </c>
      <c r="C443" s="27" t="str">
        <f>"45224"</f>
        <v>45224</v>
      </c>
      <c r="D443" s="27" t="str">
        <f>"5203036000654"</f>
        <v>5203036000654</v>
      </c>
      <c r="E443" s="27" t="str">
        <f>"LAXANEY TEA 2GR 10SACHETS"</f>
        <v>LAXANEY TEA 2GR 10SACHETS</v>
      </c>
      <c r="F443" s="19">
        <v>2.7</v>
      </c>
      <c r="G443" s="29">
        <v>0.05</v>
      </c>
      <c r="H443" s="28">
        <f t="shared" si="26"/>
        <v>2.5650000000000004</v>
      </c>
      <c r="I443" s="27"/>
      <c r="J443" s="232"/>
    </row>
    <row r="444" spans="1:10" ht="15" customHeight="1" x14ac:dyDescent="0.25">
      <c r="A444" s="57">
        <v>5203036002337</v>
      </c>
      <c r="B444" s="71" t="str">
        <f t="shared" si="27"/>
        <v>ΖΑΡΜΠΗ ΕI.&amp; ΣΙΑ Ε.Ε  (JOHNZ)</v>
      </c>
      <c r="C444" s="57" t="str">
        <f>"100045"</f>
        <v>100045</v>
      </c>
      <c r="D444" s="41" t="str">
        <f>"5203036002337"</f>
        <v>5203036002337</v>
      </c>
      <c r="E444" s="41" t="str">
        <f>"LAXANEY MACRO 30SACHETS ADULTS &amp;JUNIOR"</f>
        <v>LAXANEY MACRO 30SACHETS ADULTS &amp;JUNIOR</v>
      </c>
      <c r="F444" s="19">
        <v>7.9</v>
      </c>
      <c r="G444" s="43">
        <v>0.1</v>
      </c>
      <c r="H444" s="42">
        <f>F444-F444*G444</f>
        <v>7.11</v>
      </c>
      <c r="I444" s="41"/>
      <c r="J444" s="221" t="s">
        <v>185</v>
      </c>
    </row>
    <row r="445" spans="1:10" ht="15" customHeight="1" thickBot="1" x14ac:dyDescent="0.3">
      <c r="A445" s="26">
        <v>5203036002306</v>
      </c>
      <c r="B445" s="132" t="str">
        <f t="shared" si="27"/>
        <v>ΖΑΡΜΠΗ ΕI.&amp; ΣΙΑ Ε.Ε  (JOHNZ)</v>
      </c>
      <c r="C445" s="26" t="str">
        <f>"41440"</f>
        <v>41440</v>
      </c>
      <c r="D445" s="27" t="str">
        <f>"5203036002306"</f>
        <v>5203036002306</v>
      </c>
      <c r="E445" s="27" t="str">
        <f>"LAXANEY MACRO ORAL SOL. 250ML"</f>
        <v>LAXANEY MACRO ORAL SOL. 250ML</v>
      </c>
      <c r="F445" s="19">
        <v>4.95</v>
      </c>
      <c r="G445" s="29">
        <v>0.1</v>
      </c>
      <c r="H445" s="28">
        <f>F445-F445*G445</f>
        <v>4.4550000000000001</v>
      </c>
      <c r="I445" s="27"/>
      <c r="J445" s="222"/>
    </row>
    <row r="446" spans="1:10" ht="15" customHeight="1" x14ac:dyDescent="0.25">
      <c r="A446" s="6">
        <v>5200116280609</v>
      </c>
      <c r="B446" s="129" t="str">
        <f t="shared" ref="B446:B451" si="30">"OLONEA  E.E."</f>
        <v>OLONEA  E.E.</v>
      </c>
      <c r="C446" s="6" t="str">
        <f>"55687"</f>
        <v>55687</v>
      </c>
      <c r="D446" s="7" t="str">
        <f>"5200116280609"</f>
        <v>5200116280609</v>
      </c>
      <c r="E446" s="7" t="str">
        <f>"BACTEFIBER ORGANIC 14SACHETS"</f>
        <v>BACTEFIBER ORGANIC 14SACHETS</v>
      </c>
      <c r="F446" s="19">
        <v>9.86</v>
      </c>
      <c r="G446" s="9">
        <v>0.04</v>
      </c>
      <c r="H446" s="23">
        <f t="shared" si="26"/>
        <v>9.4656000000000002</v>
      </c>
      <c r="I446" s="7"/>
      <c r="J446" s="219" t="s">
        <v>80</v>
      </c>
    </row>
    <row r="447" spans="1:10" ht="15" customHeight="1" x14ac:dyDescent="0.25">
      <c r="A447" s="10">
        <v>5200116280050</v>
      </c>
      <c r="B447" s="39" t="str">
        <f t="shared" si="30"/>
        <v>OLONEA  E.E.</v>
      </c>
      <c r="C447" s="10" t="str">
        <f>"8739"</f>
        <v>8739</v>
      </c>
      <c r="D447" s="3" t="str">
        <f>"5200116280050"</f>
        <v>5200116280050</v>
      </c>
      <c r="E447" s="3" t="str">
        <f>"BACTEFLORA 10CAPS"</f>
        <v>BACTEFLORA 10CAPS</v>
      </c>
      <c r="F447" s="19">
        <v>5.5</v>
      </c>
      <c r="G447" s="5">
        <v>0.04</v>
      </c>
      <c r="H447" s="19">
        <f t="shared" si="26"/>
        <v>5.28</v>
      </c>
      <c r="I447" s="3"/>
      <c r="J447" s="224"/>
    </row>
    <row r="448" spans="1:10" ht="15" customHeight="1" x14ac:dyDescent="0.25">
      <c r="A448" s="10">
        <v>5200116280067</v>
      </c>
      <c r="B448" s="39" t="str">
        <f t="shared" si="30"/>
        <v>OLONEA  E.E.</v>
      </c>
      <c r="C448" s="10" t="str">
        <f>"59205"</f>
        <v>59205</v>
      </c>
      <c r="D448" s="3" t="str">
        <f>"5200116280067"</f>
        <v>5200116280067</v>
      </c>
      <c r="E448" s="3" t="str">
        <f>"BACTEFLORA 30CAPS"</f>
        <v>BACTEFLORA 30CAPS</v>
      </c>
      <c r="F448" s="19">
        <v>13.68</v>
      </c>
      <c r="G448" s="5">
        <v>0.04</v>
      </c>
      <c r="H448" s="19">
        <f t="shared" si="26"/>
        <v>13.1328</v>
      </c>
      <c r="I448" s="3"/>
      <c r="J448" s="224"/>
    </row>
    <row r="449" spans="1:10" ht="15" customHeight="1" x14ac:dyDescent="0.25">
      <c r="A449" s="10">
        <v>5200116280074</v>
      </c>
      <c r="B449" s="39" t="str">
        <f t="shared" si="30"/>
        <v>OLONEA  E.E.</v>
      </c>
      <c r="C449" s="10" t="str">
        <f>"59185"</f>
        <v>59185</v>
      </c>
      <c r="D449" s="3" t="str">
        <f>"5200116280074"</f>
        <v>5200116280074</v>
      </c>
      <c r="E449" s="3" t="str">
        <f>"BACTEFLORA FEM 10CAPS"</f>
        <v>BACTEFLORA FEM 10CAPS</v>
      </c>
      <c r="F449" s="19">
        <v>7.2</v>
      </c>
      <c r="G449" s="5">
        <v>0.04</v>
      </c>
      <c r="H449" s="19">
        <f t="shared" si="26"/>
        <v>6.9119999999999999</v>
      </c>
      <c r="I449" s="3"/>
      <c r="J449" s="224"/>
    </row>
    <row r="450" spans="1:10" ht="15" customHeight="1" x14ac:dyDescent="0.25">
      <c r="A450" s="10">
        <v>5200116280012</v>
      </c>
      <c r="B450" s="39" t="str">
        <f t="shared" si="30"/>
        <v>OLONEA  E.E.</v>
      </c>
      <c r="C450" s="10" t="str">
        <f>"7361"</f>
        <v>7361</v>
      </c>
      <c r="D450" s="3" t="str">
        <f>"5200116280012"</f>
        <v>5200116280012</v>
      </c>
      <c r="E450" s="3" t="str">
        <f>"BACTEFLORA PLUS 10CAPS"</f>
        <v>BACTEFLORA PLUS 10CAPS</v>
      </c>
      <c r="F450" s="19">
        <v>8.01</v>
      </c>
      <c r="G450" s="5">
        <v>0.04</v>
      </c>
      <c r="H450" s="19">
        <f t="shared" si="26"/>
        <v>7.6895999999999995</v>
      </c>
      <c r="I450" s="3"/>
      <c r="J450" s="224"/>
    </row>
    <row r="451" spans="1:10" ht="15" customHeight="1" thickBot="1" x14ac:dyDescent="0.3">
      <c r="A451" s="11">
        <v>5200116280029</v>
      </c>
      <c r="B451" s="130" t="str">
        <f t="shared" si="30"/>
        <v>OLONEA  E.E.</v>
      </c>
      <c r="C451" s="11" t="str">
        <f>"054261"</f>
        <v>054261</v>
      </c>
      <c r="D451" s="12" t="str">
        <f>"5200116280029"</f>
        <v>5200116280029</v>
      </c>
      <c r="E451" s="12" t="str">
        <f>"BACTEFLORA PLUS 30CAPS"</f>
        <v>BACTEFLORA PLUS 30CAPS</v>
      </c>
      <c r="F451" s="19">
        <v>20.85</v>
      </c>
      <c r="G451" s="14">
        <v>0.04</v>
      </c>
      <c r="H451" s="28">
        <f t="shared" si="26"/>
        <v>20.016000000000002</v>
      </c>
      <c r="I451" s="12"/>
      <c r="J451" s="220"/>
    </row>
    <row r="452" spans="1:10" ht="15" customHeight="1" x14ac:dyDescent="0.25">
      <c r="A452" s="21">
        <v>5200133390015</v>
      </c>
      <c r="B452" s="131" t="str">
        <f>"INNOVIS PHARMA AEBE"</f>
        <v>INNOVIS PHARMA AEBE</v>
      </c>
      <c r="C452" s="57" t="str">
        <f>"29419"</f>
        <v>29419</v>
      </c>
      <c r="D452" s="41" t="str">
        <f>"5200133390015"</f>
        <v>5200133390015</v>
      </c>
      <c r="E452" s="41" t="str">
        <f>"LACTOTUNE COMFORT CAPS x30"</f>
        <v>LACTOTUNE COMFORT CAPS x30</v>
      </c>
      <c r="F452" s="19">
        <v>16.34</v>
      </c>
      <c r="G452" s="43">
        <v>0.05</v>
      </c>
      <c r="H452" s="42">
        <f t="shared" si="26"/>
        <v>15.523</v>
      </c>
      <c r="I452" s="41"/>
      <c r="J452" s="218" t="s">
        <v>75</v>
      </c>
    </row>
    <row r="453" spans="1:10" ht="15" customHeight="1" x14ac:dyDescent="0.25">
      <c r="A453" s="25">
        <v>5213000112818</v>
      </c>
      <c r="B453" s="40" t="str">
        <f>"INNOVIS PHARMA AEBE"</f>
        <v>INNOVIS PHARMA AEBE</v>
      </c>
      <c r="C453" s="25" t="str">
        <f>"29420"</f>
        <v>29420</v>
      </c>
      <c r="D453" s="18" t="str">
        <f>"5213000112818"</f>
        <v>5213000112818</v>
      </c>
      <c r="E453" s="18" t="str">
        <f>"LACTOTUNE FIBER SACHETS 14x3GR"</f>
        <v>LACTOTUNE FIBER SACHETS 14x3GR</v>
      </c>
      <c r="F453" s="19">
        <v>13.92</v>
      </c>
      <c r="G453" s="20">
        <v>0.05</v>
      </c>
      <c r="H453" s="19">
        <f t="shared" si="26"/>
        <v>13.224</v>
      </c>
      <c r="I453" s="18"/>
      <c r="J453" s="218"/>
    </row>
    <row r="454" spans="1:10" ht="15" customHeight="1" x14ac:dyDescent="0.25">
      <c r="A454" s="25">
        <v>5200133390060</v>
      </c>
      <c r="B454" s="40" t="str">
        <f>"INNOVIS PHARMA AEBE"</f>
        <v>INNOVIS PHARMA AEBE</v>
      </c>
      <c r="C454" s="25" t="str">
        <f>"34724"</f>
        <v>34724</v>
      </c>
      <c r="D454" s="18" t="str">
        <f>"5200133390060"</f>
        <v>5200133390060</v>
      </c>
      <c r="E454" s="18" t="str">
        <f>"LACTOTUNE STOP 6CAPS ΣΥΜΠΛΗΡΩΜΑ ΔΙΑΤΡΟΦΗΣ"</f>
        <v>LACTOTUNE STOP 6CAPS ΣΥΜΠΛΗΡΩΜΑ ΔΙΑΤΡΟΦΗΣ</v>
      </c>
      <c r="F454" s="19">
        <v>4.16</v>
      </c>
      <c r="G454" s="20">
        <v>0.05</v>
      </c>
      <c r="H454" s="19">
        <f t="shared" si="26"/>
        <v>3.952</v>
      </c>
      <c r="I454" s="18"/>
      <c r="J454" s="218"/>
    </row>
    <row r="455" spans="1:10" ht="15" customHeight="1" x14ac:dyDescent="0.25">
      <c r="A455" s="25">
        <v>5200133390084</v>
      </c>
      <c r="B455" s="40" t="str">
        <f>"INNOVIS PHARMA AEBE"</f>
        <v>INNOVIS PHARMA AEBE</v>
      </c>
      <c r="C455" s="25" t="str">
        <f>"47679"</f>
        <v>47679</v>
      </c>
      <c r="D455" s="18" t="str">
        <f>"5200133390084"</f>
        <v>5200133390084</v>
      </c>
      <c r="E455" s="18" t="str">
        <f>"LACTOTUNE URINARY 30CAPS"</f>
        <v>LACTOTUNE URINARY 30CAPS</v>
      </c>
      <c r="F455" s="19">
        <v>16.34</v>
      </c>
      <c r="G455" s="20">
        <v>0.05</v>
      </c>
      <c r="H455" s="19">
        <f t="shared" si="26"/>
        <v>15.523</v>
      </c>
      <c r="I455" s="18"/>
      <c r="J455" s="218"/>
    </row>
    <row r="456" spans="1:10" ht="15" customHeight="1" thickBot="1" x14ac:dyDescent="0.3">
      <c r="A456" s="26">
        <v>5213000112825</v>
      </c>
      <c r="B456" s="132" t="str">
        <f>"INNOVIS PHARMA AEBE"</f>
        <v>INNOVIS PHARMA AEBE</v>
      </c>
      <c r="C456" s="30" t="str">
        <f>"97025"</f>
        <v>97025</v>
      </c>
      <c r="D456" s="31" t="str">
        <f>"5213000112825"</f>
        <v>5213000112825</v>
      </c>
      <c r="E456" s="31" t="str">
        <f>"LACTOTUNE VAGINAL BALANCE 10CAPS"</f>
        <v>LACTOTUNE VAGINAL BALANCE 10CAPS</v>
      </c>
      <c r="F456" s="19">
        <v>11.9</v>
      </c>
      <c r="G456" s="33">
        <v>0.05</v>
      </c>
      <c r="H456" s="32">
        <f t="shared" si="26"/>
        <v>11.305</v>
      </c>
      <c r="I456" s="31"/>
      <c r="J456" s="218"/>
    </row>
    <row r="457" spans="1:10" ht="15" customHeight="1" thickBot="1" x14ac:dyDescent="0.3">
      <c r="A457" s="25">
        <v>5200104280246</v>
      </c>
      <c r="B457" s="40" t="str">
        <f>"VIOFAR LTD"</f>
        <v>VIOFAR LTD</v>
      </c>
      <c r="C457" s="61" t="str">
        <f>"109865"</f>
        <v>109865</v>
      </c>
      <c r="D457" s="62" t="str">
        <f>"5200104280246"</f>
        <v>5200104280246</v>
      </c>
      <c r="E457" s="62" t="str">
        <f>"CHLORO OUT MOUTHWASH 0.2% 250ML"</f>
        <v>CHLORO OUT MOUTHWASH 0.2% 250ML</v>
      </c>
      <c r="F457" s="19">
        <v>6.3</v>
      </c>
      <c r="G457" s="64">
        <v>0.2</v>
      </c>
      <c r="H457" s="63">
        <f t="shared" si="26"/>
        <v>5.04</v>
      </c>
      <c r="I457" s="62"/>
      <c r="J457" s="98" t="s">
        <v>60</v>
      </c>
    </row>
    <row r="458" spans="1:10" ht="15" customHeight="1" x14ac:dyDescent="0.25">
      <c r="A458" s="6">
        <v>3577057054272</v>
      </c>
      <c r="B458" s="129" t="str">
        <f t="shared" ref="B458:B464" si="31">"PIERRE FABRE HELLAS A.E."</f>
        <v>PIERRE FABRE HELLAS A.E.</v>
      </c>
      <c r="C458" s="55" t="str">
        <f>"0866"</f>
        <v>0866</v>
      </c>
      <c r="D458" s="47" t="str">
        <f>"3577057054272"</f>
        <v>3577057054272</v>
      </c>
      <c r="E458" s="47" t="str">
        <f>"ELGYDIUM CLINIC 15/100 ΟΔΟΝ/ΤΣΑ"</f>
        <v>ELGYDIUM CLINIC 15/100 ΟΔΟΝ/ΤΣΑ</v>
      </c>
      <c r="F458" s="19">
        <v>4.33</v>
      </c>
      <c r="G458" s="48">
        <v>0.05</v>
      </c>
      <c r="H458" s="42">
        <f t="shared" si="26"/>
        <v>4.1135000000000002</v>
      </c>
      <c r="I458" s="47"/>
      <c r="J458" s="224" t="s">
        <v>30</v>
      </c>
    </row>
    <row r="459" spans="1:10" ht="15" customHeight="1" x14ac:dyDescent="0.25">
      <c r="A459" s="10">
        <v>3577057054289</v>
      </c>
      <c r="B459" s="39" t="str">
        <f t="shared" si="31"/>
        <v>PIERRE FABRE HELLAS A.E.</v>
      </c>
      <c r="C459" s="10" t="str">
        <f>"0905"</f>
        <v>0905</v>
      </c>
      <c r="D459" s="3" t="str">
        <f>"3577057054289"</f>
        <v>3577057054289</v>
      </c>
      <c r="E459" s="3" t="str">
        <f>"ELGYDIUM CLINIC 20/100 ΟΔΟΝ/ΤΣΑ"</f>
        <v>ELGYDIUM CLINIC 20/100 ΟΔΟΝ/ΤΣΑ</v>
      </c>
      <c r="F459" s="19">
        <v>4.33</v>
      </c>
      <c r="G459" s="5">
        <v>0.05</v>
      </c>
      <c r="H459" s="19">
        <f t="shared" si="26"/>
        <v>4.1135000000000002</v>
      </c>
      <c r="I459" s="3"/>
      <c r="J459" s="224"/>
    </row>
    <row r="460" spans="1:10" ht="15" customHeight="1" thickBot="1" x14ac:dyDescent="0.3">
      <c r="A460" s="11">
        <v>3577057054296</v>
      </c>
      <c r="B460" s="130" t="str">
        <f t="shared" si="31"/>
        <v>PIERRE FABRE HELLAS A.E.</v>
      </c>
      <c r="C460" s="15" t="str">
        <f>"01850"</f>
        <v>01850</v>
      </c>
      <c r="D460" s="16" t="str">
        <f>"3577057054296"</f>
        <v>3577057054296</v>
      </c>
      <c r="E460" s="16" t="str">
        <f>"ELGYDIUM CLINIC 25/100 ΟΔΟΝΤ/ΤΣΑ"</f>
        <v>ELGYDIUM CLINIC 25/100 ΟΔΟΝΤ/ΤΣΑ</v>
      </c>
      <c r="F460" s="19">
        <v>4.09</v>
      </c>
      <c r="G460" s="17">
        <v>0.05</v>
      </c>
      <c r="H460" s="32">
        <f t="shared" si="26"/>
        <v>3.8855</v>
      </c>
      <c r="I460" s="16"/>
      <c r="J460" s="224"/>
    </row>
    <row r="461" spans="1:10" ht="15" customHeight="1" x14ac:dyDescent="0.25">
      <c r="A461" s="57">
        <v>3577056023491</v>
      </c>
      <c r="B461" s="71" t="str">
        <f t="shared" si="31"/>
        <v>PIERRE FABRE HELLAS A.E.</v>
      </c>
      <c r="C461" s="21" t="str">
        <f>"023336"</f>
        <v>023336</v>
      </c>
      <c r="D461" s="22" t="str">
        <f>"3577056023491"</f>
        <v>3577056023491</v>
      </c>
      <c r="E461" s="22" t="str">
        <f>"ELGYDIUM PASTA ANTI-PLAQUE 75ML"</f>
        <v>ELGYDIUM PASTA ANTI-PLAQUE 75ML</v>
      </c>
      <c r="F461" s="19">
        <v>4.2699999999999996</v>
      </c>
      <c r="G461" s="24">
        <v>0.05</v>
      </c>
      <c r="H461" s="23">
        <f t="shared" si="26"/>
        <v>4.0564999999999998</v>
      </c>
      <c r="I461" s="22"/>
      <c r="J461" s="221" t="s">
        <v>30</v>
      </c>
    </row>
    <row r="462" spans="1:10" ht="15" customHeight="1" thickBot="1" x14ac:dyDescent="0.3">
      <c r="A462" s="30">
        <v>3577056001253</v>
      </c>
      <c r="B462" s="133" t="str">
        <f t="shared" si="31"/>
        <v>PIERRE FABRE HELLAS A.E.</v>
      </c>
      <c r="C462" s="26" t="str">
        <f>"0006335"</f>
        <v>0006335</v>
      </c>
      <c r="D462" s="27" t="str">
        <f>"3577056001253"</f>
        <v>3577056001253</v>
      </c>
      <c r="E462" s="27" t="str">
        <f>"ELGYDIUM PASTA WHITENING 75ML"</f>
        <v>ELGYDIUM PASTA WHITENING 75ML</v>
      </c>
      <c r="F462" s="19">
        <v>4.33</v>
      </c>
      <c r="G462" s="29">
        <v>0.05</v>
      </c>
      <c r="H462" s="28">
        <f t="shared" si="26"/>
        <v>4.1135000000000002</v>
      </c>
      <c r="I462" s="27"/>
      <c r="J462" s="222"/>
    </row>
    <row r="463" spans="1:10" ht="15" customHeight="1" x14ac:dyDescent="0.25">
      <c r="A463" s="6">
        <v>3577056023170</v>
      </c>
      <c r="B463" s="129" t="str">
        <f t="shared" si="31"/>
        <v>PIERRE FABRE HELLAS A.E.</v>
      </c>
      <c r="C463" s="55" t="s">
        <v>209</v>
      </c>
      <c r="D463" s="47" t="s">
        <v>210</v>
      </c>
      <c r="E463" s="47" t="s">
        <v>211</v>
      </c>
      <c r="F463" s="19">
        <v>7.1</v>
      </c>
      <c r="G463" s="48">
        <v>0.05</v>
      </c>
      <c r="H463" s="42">
        <f t="shared" si="26"/>
        <v>6.7449999999999992</v>
      </c>
      <c r="I463" s="47"/>
      <c r="J463" s="224" t="s">
        <v>30</v>
      </c>
    </row>
    <row r="464" spans="1:10" ht="15" customHeight="1" thickBot="1" x14ac:dyDescent="0.3">
      <c r="A464" s="11">
        <v>3577056023156</v>
      </c>
      <c r="B464" s="130" t="str">
        <f t="shared" si="31"/>
        <v>PIERRE FABRE HELLAS A.E.</v>
      </c>
      <c r="C464" s="15" t="str">
        <f>"054008"</f>
        <v>054008</v>
      </c>
      <c r="D464" s="16" t="str">
        <f>"3577056023156"</f>
        <v>3577056023156</v>
      </c>
      <c r="E464" s="16" t="str">
        <f>"ELUDRIL ΣΤΟΜΑΤΙΚΟ ΔΙΑΛΥΜΑ 500ML"</f>
        <v>ELUDRIL ΣΤΟΜΑΤΙΚΟ ΔΙΑΛΥΜΑ 500ML</v>
      </c>
      <c r="F464" s="19">
        <v>11.43</v>
      </c>
      <c r="G464" s="17">
        <v>0.05</v>
      </c>
      <c r="H464" s="32">
        <f t="shared" si="26"/>
        <v>10.858499999999999</v>
      </c>
      <c r="I464" s="16"/>
      <c r="J464" s="224"/>
    </row>
    <row r="465" spans="1:10" ht="15" customHeight="1" x14ac:dyDescent="0.25">
      <c r="A465" s="57">
        <v>3574661266398</v>
      </c>
      <c r="B465" s="71" t="s">
        <v>5</v>
      </c>
      <c r="C465" s="21" t="str">
        <f>"02767"</f>
        <v>02767</v>
      </c>
      <c r="D465" s="22" t="str">
        <f>"3574661266398"</f>
        <v>3574661266398</v>
      </c>
      <c r="E465" s="22" t="str">
        <f>"LISTERINE ADVANCED TARTAR ARCTIC MINT 250ML"</f>
        <v>LISTERINE ADVANCED TARTAR ARCTIC MINT 250ML</v>
      </c>
      <c r="F465" s="19">
        <v>3.61</v>
      </c>
      <c r="G465" s="24">
        <v>0.3</v>
      </c>
      <c r="H465" s="23">
        <f t="shared" si="26"/>
        <v>2.5270000000000001</v>
      </c>
      <c r="I465" s="22"/>
      <c r="J465" s="221" t="s">
        <v>77</v>
      </c>
    </row>
    <row r="466" spans="1:10" ht="15" customHeight="1" x14ac:dyDescent="0.25">
      <c r="A466" s="25">
        <v>3574661177403</v>
      </c>
      <c r="B466" s="40" t="s">
        <v>5</v>
      </c>
      <c r="C466" s="25" t="str">
        <f>"01470"</f>
        <v>01470</v>
      </c>
      <c r="D466" s="18" t="str">
        <f>"3574661177403"</f>
        <v>3574661177403</v>
      </c>
      <c r="E466" s="18" t="str">
        <f>"LISTERINE COOLMINT 250ML"</f>
        <v>LISTERINE COOLMINT 250ML</v>
      </c>
      <c r="F466" s="19">
        <v>3.13</v>
      </c>
      <c r="G466" s="20">
        <v>0.3</v>
      </c>
      <c r="H466" s="19">
        <f t="shared" si="26"/>
        <v>2.1909999999999998</v>
      </c>
      <c r="I466" s="18"/>
      <c r="J466" s="218"/>
    </row>
    <row r="467" spans="1:10" ht="15" customHeight="1" x14ac:dyDescent="0.25">
      <c r="A467" s="25">
        <v>3574660389128</v>
      </c>
      <c r="B467" s="40" t="s">
        <v>5</v>
      </c>
      <c r="C467" s="25" t="str">
        <f>"2047"</f>
        <v>2047</v>
      </c>
      <c r="D467" s="18" t="str">
        <f>"3574660389128"</f>
        <v>3574660389128</v>
      </c>
      <c r="E467" s="18" t="str">
        <f>"LISTERINE COOLMINT 500ML"</f>
        <v>LISTERINE COOLMINT 500ML</v>
      </c>
      <c r="F467" s="19">
        <v>5.55</v>
      </c>
      <c r="G467" s="20">
        <v>0.3</v>
      </c>
      <c r="H467" s="19">
        <f t="shared" si="26"/>
        <v>3.8849999999999998</v>
      </c>
      <c r="I467" s="18"/>
      <c r="J467" s="218"/>
    </row>
    <row r="468" spans="1:10" ht="15" customHeight="1" x14ac:dyDescent="0.25">
      <c r="A468" s="25">
        <v>3574660649864</v>
      </c>
      <c r="B468" s="40" t="s">
        <v>5</v>
      </c>
      <c r="C468" s="25" t="str">
        <f>"054060"</f>
        <v>054060</v>
      </c>
      <c r="D468" s="18" t="str">
        <f>"3574660649864"</f>
        <v>3574660649864</v>
      </c>
      <c r="E468" s="18" t="str">
        <f>"LISTERINE COOLMINT ZERO 250ML ΧΩΡΙΣ ΟΙΝΟΠΝΕΥΜΑ"</f>
        <v>LISTERINE COOLMINT ZERO 250ML ΧΩΡΙΣ ΟΙΝΟΠΝΕΥΜΑ</v>
      </c>
      <c r="F468" s="19">
        <v>3.24</v>
      </c>
      <c r="G468" s="20">
        <v>0.3</v>
      </c>
      <c r="H468" s="19">
        <f t="shared" si="26"/>
        <v>2.2680000000000002</v>
      </c>
      <c r="I468" s="18"/>
      <c r="J468" s="218"/>
    </row>
    <row r="469" spans="1:10" ht="15" customHeight="1" x14ac:dyDescent="0.25">
      <c r="A469" s="25">
        <v>5010123703431</v>
      </c>
      <c r="B469" s="40" t="s">
        <v>5</v>
      </c>
      <c r="C469" s="25" t="str">
        <f>"01592"</f>
        <v>01592</v>
      </c>
      <c r="D469" s="18" t="str">
        <f>"5010123703431"</f>
        <v>5010123703431</v>
      </c>
      <c r="E469" s="18" t="str">
        <f>"LISTERINE FRESH BURST 250ML"</f>
        <v>LISTERINE FRESH BURST 250ML</v>
      </c>
      <c r="F469" s="19">
        <v>3.24</v>
      </c>
      <c r="G469" s="20">
        <v>0.3</v>
      </c>
      <c r="H469" s="19">
        <f t="shared" si="26"/>
        <v>2.2680000000000002</v>
      </c>
      <c r="I469" s="18"/>
      <c r="J469" s="218"/>
    </row>
    <row r="470" spans="1:10" ht="15" customHeight="1" x14ac:dyDescent="0.25">
      <c r="A470" s="25">
        <v>3574660389142</v>
      </c>
      <c r="B470" s="40" t="s">
        <v>5</v>
      </c>
      <c r="C470" s="25" t="str">
        <f>"2790"</f>
        <v>2790</v>
      </c>
      <c r="D470" s="18" t="str">
        <f>"3574660389142"</f>
        <v>3574660389142</v>
      </c>
      <c r="E470" s="18" t="str">
        <f>"LISTERINE FRESH BURST 500ML."</f>
        <v>LISTERINE FRESH BURST 500ML.</v>
      </c>
      <c r="F470" s="19">
        <v>5.55</v>
      </c>
      <c r="G470" s="20">
        <v>0.3</v>
      </c>
      <c r="H470" s="19">
        <f t="shared" si="26"/>
        <v>3.8849999999999998</v>
      </c>
      <c r="I470" s="18"/>
      <c r="J470" s="218"/>
    </row>
    <row r="471" spans="1:10" ht="15" customHeight="1" x14ac:dyDescent="0.25">
      <c r="A471" s="25">
        <v>3574661352299</v>
      </c>
      <c r="B471" s="40" t="s">
        <v>5</v>
      </c>
      <c r="C471" s="25" t="str">
        <f>"101165"</f>
        <v>101165</v>
      </c>
      <c r="D471" s="18" t="str">
        <f>"3574661352299"</f>
        <v>3574661352299</v>
      </c>
      <c r="E471" s="18" t="str">
        <f>"LISTERINE SMART RINSE 500ML MILD BERRY 6+"</f>
        <v>LISTERINE SMART RINSE 500ML MILD BERRY 6+</v>
      </c>
      <c r="F471" s="19">
        <v>6.09</v>
      </c>
      <c r="G471" s="20">
        <v>0.3</v>
      </c>
      <c r="H471" s="19">
        <f t="shared" si="26"/>
        <v>4.2629999999999999</v>
      </c>
      <c r="I471" s="18"/>
      <c r="J471" s="218"/>
    </row>
    <row r="472" spans="1:10" ht="15" customHeight="1" x14ac:dyDescent="0.25">
      <c r="A472" s="25">
        <v>5010123714246</v>
      </c>
      <c r="B472" s="40" t="s">
        <v>5</v>
      </c>
      <c r="C472" s="25" t="str">
        <f>"050810"</f>
        <v>050810</v>
      </c>
      <c r="D472" s="18" t="str">
        <f>"5010123714246"</f>
        <v>5010123714246</v>
      </c>
      <c r="E472" s="18" t="str">
        <f>"LISTERINE TEETH &amp; GUM 250 ML"</f>
        <v>LISTERINE TEETH &amp; GUM 250 ML</v>
      </c>
      <c r="F472" s="19">
        <v>3.61</v>
      </c>
      <c r="G472" s="20">
        <v>0.3</v>
      </c>
      <c r="H472" s="19">
        <f t="shared" si="26"/>
        <v>2.5270000000000001</v>
      </c>
      <c r="I472" s="18"/>
      <c r="J472" s="218"/>
    </row>
    <row r="473" spans="1:10" ht="15" customHeight="1" x14ac:dyDescent="0.25">
      <c r="A473" s="25">
        <v>3574660537253</v>
      </c>
      <c r="B473" s="40" t="s">
        <v>5</v>
      </c>
      <c r="C473" s="25" t="str">
        <f>"39420"</f>
        <v>39420</v>
      </c>
      <c r="D473" s="18" t="str">
        <f>"3574660537253"</f>
        <v>3574660537253</v>
      </c>
      <c r="E473" s="18" t="str">
        <f>"LISTERINE TOTAL CARE CLEAN MINT 250ML (PURPLE)"</f>
        <v>LISTERINE TOTAL CARE CLEAN MINT 250ML (PURPLE)</v>
      </c>
      <c r="F473" s="19">
        <v>3.93</v>
      </c>
      <c r="G473" s="20">
        <v>0.3</v>
      </c>
      <c r="H473" s="19">
        <f t="shared" si="26"/>
        <v>2.7510000000000003</v>
      </c>
      <c r="I473" s="18"/>
      <c r="J473" s="218"/>
    </row>
    <row r="474" spans="1:10" ht="15" customHeight="1" x14ac:dyDescent="0.25">
      <c r="A474" s="25">
        <v>3574660415506</v>
      </c>
      <c r="B474" s="40" t="s">
        <v>5</v>
      </c>
      <c r="C474" s="25" t="str">
        <f>"36923"</f>
        <v>36923</v>
      </c>
      <c r="D474" s="18" t="str">
        <f>"3574660415506"</f>
        <v>3574660415506</v>
      </c>
      <c r="E474" s="18" t="str">
        <f>"LISTERINE TOTAL CARE CLEAN MINT 500ML (PURPLE)"</f>
        <v>LISTERINE TOTAL CARE CLEAN MINT 500ML (PURPLE)</v>
      </c>
      <c r="F474" s="19">
        <v>6.35</v>
      </c>
      <c r="G474" s="20">
        <v>0.3</v>
      </c>
      <c r="H474" s="19">
        <f t="shared" si="26"/>
        <v>4.4450000000000003</v>
      </c>
      <c r="I474" s="18"/>
      <c r="J474" s="218"/>
    </row>
    <row r="475" spans="1:10" ht="15" customHeight="1" thickBot="1" x14ac:dyDescent="0.3">
      <c r="A475" s="30">
        <v>3574660603866</v>
      </c>
      <c r="B475" s="133" t="s">
        <v>5</v>
      </c>
      <c r="C475" s="26" t="str">
        <f>"054058"</f>
        <v>054058</v>
      </c>
      <c r="D475" s="27" t="str">
        <f>"3574660603866"</f>
        <v>3574660603866</v>
      </c>
      <c r="E475" s="27" t="str">
        <f>"LISTERINE TOTAL CARE ENAMEL 500ML"</f>
        <v>LISTERINE TOTAL CARE ENAMEL 500ML</v>
      </c>
      <c r="F475" s="19">
        <v>6.35</v>
      </c>
      <c r="G475" s="29">
        <v>0.3</v>
      </c>
      <c r="H475" s="28">
        <f t="shared" si="26"/>
        <v>4.4450000000000003</v>
      </c>
      <c r="I475" s="27"/>
      <c r="J475" s="222"/>
    </row>
    <row r="476" spans="1:10" ht="15" customHeight="1" x14ac:dyDescent="0.25">
      <c r="A476" s="21">
        <v>3574661401102</v>
      </c>
      <c r="B476" s="131" t="s">
        <v>5</v>
      </c>
      <c r="C476" s="57" t="str">
        <f>"051966"</f>
        <v>051966</v>
      </c>
      <c r="D476" s="41" t="str">
        <f>"3574661401102"</f>
        <v>3574661401102</v>
      </c>
      <c r="E476" s="41" t="str">
        <f>"LISTERINE NIGHTLY RESET 400ML NEO"</f>
        <v>LISTERINE NIGHTLY RESET 400ML NEO</v>
      </c>
      <c r="F476" s="19">
        <v>6.03</v>
      </c>
      <c r="G476" s="43">
        <v>0.15</v>
      </c>
      <c r="H476" s="42">
        <f t="shared" si="26"/>
        <v>5.1255000000000006</v>
      </c>
      <c r="I476" s="41"/>
      <c r="J476" s="218" t="s">
        <v>33</v>
      </c>
    </row>
    <row r="477" spans="1:10" ht="15" customHeight="1" x14ac:dyDescent="0.25">
      <c r="A477" s="25">
        <v>3574660420456</v>
      </c>
      <c r="B477" s="40" t="str">
        <f>"JOHNSON &amp; JOHNSON ΕΛΛΑΣ Α.Ε.E"</f>
        <v>JOHNSON &amp; JOHNSON ΕΛΛΑΣ Α.Ε.E</v>
      </c>
      <c r="C477" s="25" t="str">
        <f>"33083"</f>
        <v>33083</v>
      </c>
      <c r="D477" s="18" t="str">
        <f>"3574660420456"</f>
        <v>3574660420456</v>
      </c>
      <c r="E477" s="18" t="str">
        <f>"LISTERINE SMART RINSE 250ML MILD MINT 6+"</f>
        <v>LISTERINE SMART RINSE 250ML MILD MINT 6+</v>
      </c>
      <c r="F477" s="19">
        <v>3.13</v>
      </c>
      <c r="G477" s="20">
        <v>0.25</v>
      </c>
      <c r="H477" s="19">
        <f t="shared" si="26"/>
        <v>2.3475000000000001</v>
      </c>
      <c r="I477" s="18"/>
      <c r="J477" s="218"/>
    </row>
    <row r="478" spans="1:10" ht="15" customHeight="1" x14ac:dyDescent="0.25">
      <c r="A478" s="25">
        <v>3574661397535</v>
      </c>
      <c r="B478" s="40" t="s">
        <v>5</v>
      </c>
      <c r="C478" s="25" t="str">
        <f>"39239"</f>
        <v>39239</v>
      </c>
      <c r="D478" s="18" t="str">
        <f>"3574661397535"</f>
        <v>3574661397535</v>
      </c>
      <c r="E478" s="18" t="str">
        <f>"LISTERINE TEETH &amp; GUM 500 ML"</f>
        <v>LISTERINE TEETH &amp; GUM 500 ML</v>
      </c>
      <c r="F478" s="19">
        <v>6.03</v>
      </c>
      <c r="G478" s="20">
        <v>0.15</v>
      </c>
      <c r="H478" s="19">
        <f t="shared" si="26"/>
        <v>5.1255000000000006</v>
      </c>
      <c r="I478" s="18"/>
      <c r="J478" s="218"/>
    </row>
    <row r="479" spans="1:10" ht="15" customHeight="1" thickBot="1" x14ac:dyDescent="0.3">
      <c r="A479" s="26">
        <v>3574661344416</v>
      </c>
      <c r="B479" s="132" t="s">
        <v>5</v>
      </c>
      <c r="C479" s="30" t="str">
        <f>"051967"</f>
        <v>051967</v>
      </c>
      <c r="D479" s="31" t="str">
        <f>"3574661344416"</f>
        <v>3574661344416</v>
      </c>
      <c r="E479" s="31" t="str">
        <f>"LISTERINE ΠΡΑΣΙΝΟ ΤΣΑΙ 500ML &amp; ΔΩΡΟ 95ML"</f>
        <v>LISTERINE ΠΡΑΣΙΝΟ ΤΣΑΙ 500ML &amp; ΔΩΡΟ 95ML</v>
      </c>
      <c r="F479" s="19">
        <v>6.09</v>
      </c>
      <c r="G479" s="33">
        <v>0.15</v>
      </c>
      <c r="H479" s="32">
        <f t="shared" si="26"/>
        <v>5.1764999999999999</v>
      </c>
      <c r="I479" s="31"/>
      <c r="J479" s="218"/>
    </row>
    <row r="480" spans="1:10" s="2" customFormat="1" ht="15" customHeight="1" x14ac:dyDescent="0.25">
      <c r="A480" s="55">
        <v>5054563033352</v>
      </c>
      <c r="B480" s="138" t="str">
        <f t="shared" ref="B480:B498" si="32">"GLAXOSMITHKLINE ΚΑΤΑΝΑΛΩΤΙΚΑ ΠΡΟΪΟΝΤΑ ΥΓΕΙΑΣ ΕΛΛΑΣ Α.Ε."</f>
        <v>GLAXOSMITHKLINE ΚΑΤΑΝΑΛΩΤΙΚΑ ΠΡΟΪΟΝΤΑ ΥΓΕΙΑΣ ΕΛΛΑΣ Α.Ε.</v>
      </c>
      <c r="C480" s="6" t="str">
        <f>"01864"</f>
        <v>01864</v>
      </c>
      <c r="D480" s="7" t="str">
        <f>"5054563033352"</f>
        <v>5054563033352</v>
      </c>
      <c r="E480" s="7" t="str">
        <f>"COREGA 3 MINUTES TABL. x48 (EXTRADENT)"</f>
        <v>COREGA 3 MINUTES TABL. x48 (EXTRADENT)</v>
      </c>
      <c r="F480" s="19">
        <v>5.6</v>
      </c>
      <c r="G480" s="9">
        <v>0.12</v>
      </c>
      <c r="H480" s="23">
        <f t="shared" si="26"/>
        <v>4.9279999999999999</v>
      </c>
      <c r="I480" s="7"/>
      <c r="J480" s="219" t="s">
        <v>32</v>
      </c>
    </row>
    <row r="481" spans="1:10" s="2" customFormat="1" ht="15" customHeight="1" x14ac:dyDescent="0.25">
      <c r="A481" s="10">
        <v>5054563027900</v>
      </c>
      <c r="B481" s="39" t="str">
        <f t="shared" si="32"/>
        <v>GLAXOSMITHKLINE ΚΑΤΑΝΑΛΩΤΙΚΑ ΠΡΟΪΟΝΤΑ ΥΓΕΙΑΣ ΕΛΛΑΣ Α.Ε.</v>
      </c>
      <c r="C481" s="10" t="str">
        <f>"32939"</f>
        <v>32939</v>
      </c>
      <c r="D481" s="3" t="str">
        <f>"5054563027900"</f>
        <v>5054563027900</v>
      </c>
      <c r="E481" s="3" t="str">
        <f>"COREGA NEUTRAL CREAM 70GR"</f>
        <v>COREGA NEUTRAL CREAM 70GR</v>
      </c>
      <c r="F481" s="19">
        <v>6.1</v>
      </c>
      <c r="G481" s="5">
        <v>0.12</v>
      </c>
      <c r="H481" s="19">
        <f t="shared" si="26"/>
        <v>5.3679999999999994</v>
      </c>
      <c r="I481" s="3"/>
      <c r="J481" s="224"/>
    </row>
    <row r="482" spans="1:10" s="2" customFormat="1" ht="15" customHeight="1" thickBot="1" x14ac:dyDescent="0.3">
      <c r="A482" s="15">
        <v>5054563027917</v>
      </c>
      <c r="B482" s="99" t="str">
        <f t="shared" si="32"/>
        <v>GLAXOSMITHKLINE ΚΑΤΑΝΑΛΩΤΙΚΑ ΠΡΟΪΟΝΤΑ ΥΓΕΙΑΣ ΕΛΛΑΣ Α.Ε.</v>
      </c>
      <c r="C482" s="11" t="str">
        <f>"00809"</f>
        <v>00809</v>
      </c>
      <c r="D482" s="12" t="str">
        <f>"5054563027917"</f>
        <v>5054563027917</v>
      </c>
      <c r="E482" s="12" t="str">
        <f>"COREGA SUPER CREAM 70GR"</f>
        <v>COREGA SUPER CREAM 70GR</v>
      </c>
      <c r="F482" s="19">
        <v>6.1</v>
      </c>
      <c r="G482" s="14">
        <v>0.12</v>
      </c>
      <c r="H482" s="28">
        <f t="shared" si="26"/>
        <v>5.3679999999999994</v>
      </c>
      <c r="I482" s="12"/>
      <c r="J482" s="220"/>
    </row>
    <row r="483" spans="1:10" ht="15" customHeight="1" x14ac:dyDescent="0.25">
      <c r="A483" s="21">
        <v>5054563033338</v>
      </c>
      <c r="B483" s="131" t="str">
        <f t="shared" si="32"/>
        <v>GLAXOSMITHKLINE ΚΑΤΑΝΑΛΩΤΙΚΑ ΠΡΟΪΟΝΤΑ ΥΓΕΙΑΣ ΕΛΛΑΣ Α.Ε.</v>
      </c>
      <c r="C483" s="57" t="str">
        <f>"008745"</f>
        <v>008745</v>
      </c>
      <c r="D483" s="41" t="str">
        <f>"5054563033338"</f>
        <v>5054563033338</v>
      </c>
      <c r="E483" s="41" t="str">
        <f>"COREGA 3 MINUTES TABL. x36 (EXTRADENT)"</f>
        <v>COREGA 3 MINUTES TABL. x36 (EXTRADENT)</v>
      </c>
      <c r="F483" s="19">
        <v>3.96</v>
      </c>
      <c r="G483" s="43">
        <v>0.05</v>
      </c>
      <c r="H483" s="42">
        <f t="shared" si="26"/>
        <v>3.762</v>
      </c>
      <c r="I483" s="41"/>
      <c r="J483" s="218" t="s">
        <v>71</v>
      </c>
    </row>
    <row r="484" spans="1:10" ht="15" customHeight="1" x14ac:dyDescent="0.25">
      <c r="A484" s="25">
        <v>5054563109491</v>
      </c>
      <c r="B484" s="40" t="str">
        <f t="shared" si="32"/>
        <v>GLAXOSMITHKLINE ΚΑΤΑΝΑΛΩΤΙΚΑ ΠΡΟΪΟΝΤΑ ΥΓΕΙΑΣ ΕΛΛΑΣ Α.Ε.</v>
      </c>
      <c r="C484" s="25" t="str">
        <f>"93166"</f>
        <v>93166</v>
      </c>
      <c r="D484" s="18" t="str">
        <f>"5054563109491"</f>
        <v>5054563109491</v>
      </c>
      <c r="E484" s="18" t="str">
        <f>"COREGA MAX SEAL 40GR"</f>
        <v>COREGA MAX SEAL 40GR</v>
      </c>
      <c r="F484" s="19">
        <v>4.3899999999999997</v>
      </c>
      <c r="G484" s="20">
        <v>0.05</v>
      </c>
      <c r="H484" s="19">
        <f t="shared" ref="H484:H547" si="33">F484-F484*G484</f>
        <v>4.1704999999999997</v>
      </c>
      <c r="I484" s="18"/>
      <c r="J484" s="218"/>
    </row>
    <row r="485" spans="1:10" ht="15" customHeight="1" x14ac:dyDescent="0.25">
      <c r="A485" s="25">
        <v>5054563027948</v>
      </c>
      <c r="B485" s="40" t="str">
        <f t="shared" si="32"/>
        <v>GLAXOSMITHKLINE ΚΑΤΑΝΑΛΩΤΙΚΑ ΠΡΟΪΟΝΤΑ ΥΓΕΙΑΣ ΕΛΛΑΣ Α.Ε.</v>
      </c>
      <c r="C485" s="25" t="str">
        <f>"01579"</f>
        <v>01579</v>
      </c>
      <c r="D485" s="18" t="str">
        <f>"5054563027948"</f>
        <v>5054563027948</v>
      </c>
      <c r="E485" s="18" t="str">
        <f>"COREGA NEUTRAL CREAM 40ML"</f>
        <v>COREGA NEUTRAL CREAM 40ML</v>
      </c>
      <c r="F485" s="19">
        <v>3.94</v>
      </c>
      <c r="G485" s="20">
        <v>0.05</v>
      </c>
      <c r="H485" s="19">
        <f t="shared" si="33"/>
        <v>3.7429999999999999</v>
      </c>
      <c r="I485" s="18"/>
      <c r="J485" s="218"/>
    </row>
    <row r="486" spans="1:10" ht="15" customHeight="1" x14ac:dyDescent="0.25">
      <c r="A486" s="25">
        <v>5054563027924</v>
      </c>
      <c r="B486" s="40" t="str">
        <f t="shared" si="32"/>
        <v>GLAXOSMITHKLINE ΚΑΤΑΝΑΛΩΤΙΚΑ ΠΡΟΪΟΝΤΑ ΥΓΕΙΑΣ ΕΛΛΑΣ Α.Ε.</v>
      </c>
      <c r="C486" s="25" t="str">
        <f>"00804"</f>
        <v>00804</v>
      </c>
      <c r="D486" s="18" t="str">
        <f>"5054563027924"</f>
        <v>5054563027924</v>
      </c>
      <c r="E486" s="18" t="str">
        <f>"COREGA SUPER CREAM 40GR"</f>
        <v>COREGA SUPER CREAM 40GR</v>
      </c>
      <c r="F486" s="19">
        <v>3.94</v>
      </c>
      <c r="G486" s="20">
        <v>0.05</v>
      </c>
      <c r="H486" s="19">
        <f t="shared" si="33"/>
        <v>3.7429999999999999</v>
      </c>
      <c r="I486" s="18"/>
      <c r="J486" s="218"/>
    </row>
    <row r="487" spans="1:10" ht="15" customHeight="1" x14ac:dyDescent="0.25">
      <c r="A487" s="25">
        <v>5054563027894</v>
      </c>
      <c r="B487" s="40" t="str">
        <f t="shared" si="32"/>
        <v>GLAXOSMITHKLINE ΚΑΤΑΝΑΛΩΤΙΚΑ ΠΡΟΪΟΝΤΑ ΥΓΕΙΑΣ ΕΛΛΑΣ Α.Ε.</v>
      </c>
      <c r="C487" s="25" t="str">
        <f>"052916"</f>
        <v>052916</v>
      </c>
      <c r="D487" s="18" t="str">
        <f>"5054563027894"</f>
        <v>5054563027894</v>
      </c>
      <c r="E487" s="18" t="str">
        <f>"COREGA ULTRA FRESH CREAM 40GR (FREE)"</f>
        <v>COREGA ULTRA FRESH CREAM 40GR (FREE)</v>
      </c>
      <c r="F487" s="19">
        <v>3.94</v>
      </c>
      <c r="G487" s="20">
        <v>0.05</v>
      </c>
      <c r="H487" s="19">
        <f t="shared" si="33"/>
        <v>3.7429999999999999</v>
      </c>
      <c r="I487" s="18"/>
      <c r="J487" s="218"/>
    </row>
    <row r="488" spans="1:10" ht="15" customHeight="1" thickBot="1" x14ac:dyDescent="0.3">
      <c r="A488" s="26">
        <v>5054563033314</v>
      </c>
      <c r="B488" s="132" t="str">
        <f t="shared" si="32"/>
        <v>GLAXOSMITHKLINE ΚΑΤΑΝΑΛΩΤΙΚΑ ΠΡΟΪΟΝΤΑ ΥΓΕΙΑΣ ΕΛΛΑΣ Α.Ε.</v>
      </c>
      <c r="C488" s="30" t="str">
        <f>"04303"</f>
        <v>04303</v>
      </c>
      <c r="D488" s="31" t="str">
        <f>"5054563033314"</f>
        <v>5054563033314</v>
      </c>
      <c r="E488" s="31" t="str">
        <f>"COREGA WHITENING TABL. x36"</f>
        <v>COREGA WHITENING TABL. x36</v>
      </c>
      <c r="F488" s="19">
        <v>4.22</v>
      </c>
      <c r="G488" s="33">
        <v>0.05</v>
      </c>
      <c r="H488" s="32">
        <f t="shared" si="33"/>
        <v>4.0089999999999995</v>
      </c>
      <c r="I488" s="31"/>
      <c r="J488" s="218"/>
    </row>
    <row r="489" spans="1:10" ht="15" customHeight="1" x14ac:dyDescent="0.25">
      <c r="A489" s="6">
        <v>5054563054975</v>
      </c>
      <c r="B489" s="129" t="str">
        <f t="shared" si="32"/>
        <v>GLAXOSMITHKLINE ΚΑΤΑΝΑΛΩΤΙΚΑ ΠΡΟΪΟΝΤΑ ΥΓΕΙΑΣ ΕΛΛΑΣ Α.Ε.</v>
      </c>
      <c r="C489" s="6" t="str">
        <f>"50242"</f>
        <v>50242</v>
      </c>
      <c r="D489" s="7" t="str">
        <f>"5054563054975"</f>
        <v>5054563054975</v>
      </c>
      <c r="E489" s="7" t="str">
        <f>"PARODONTAX COMPLETE PROTECTION EXTRA FRESH 75ML"</f>
        <v>PARODONTAX COMPLETE PROTECTION EXTRA FRESH 75ML</v>
      </c>
      <c r="F489" s="19">
        <v>3.5</v>
      </c>
      <c r="G489" s="9">
        <v>7.0000000000000007E-2</v>
      </c>
      <c r="H489" s="23">
        <f t="shared" si="33"/>
        <v>3.2549999999999999</v>
      </c>
      <c r="I489" s="7"/>
      <c r="J489" s="219" t="s">
        <v>72</v>
      </c>
    </row>
    <row r="490" spans="1:10" ht="15" customHeight="1" x14ac:dyDescent="0.25">
      <c r="A490" s="10">
        <v>5054563079534</v>
      </c>
      <c r="B490" s="39" t="str">
        <f t="shared" si="32"/>
        <v>GLAXOSMITHKLINE ΚΑΤΑΝΑΛΩΤΙΚΑ ΠΡΟΪΟΝΤΑ ΥΓΕΙΑΣ ΕΛΛΑΣ Α.Ε.</v>
      </c>
      <c r="C490" s="10" t="str">
        <f>"07775"</f>
        <v>07775</v>
      </c>
      <c r="D490" s="3" t="str">
        <f>"5054563079534"</f>
        <v>5054563079534</v>
      </c>
      <c r="E490" s="3" t="str">
        <f>"PARODONTAX FLUORIDE 75ML(ORIGINAL)"</f>
        <v>PARODONTAX FLUORIDE 75ML(ORIGINAL)</v>
      </c>
      <c r="F490" s="19">
        <v>3.11</v>
      </c>
      <c r="G490" s="5">
        <v>7.0000000000000007E-2</v>
      </c>
      <c r="H490" s="19">
        <f t="shared" si="33"/>
        <v>2.8922999999999996</v>
      </c>
      <c r="I490" s="3"/>
      <c r="J490" s="224"/>
    </row>
    <row r="491" spans="1:10" ht="15" customHeight="1" x14ac:dyDescent="0.25">
      <c r="A491" s="10">
        <v>5054563120519</v>
      </c>
      <c r="B491" s="39" t="str">
        <f t="shared" si="32"/>
        <v>GLAXOSMITHKLINE ΚΑΤΑΝΑΛΩΤΙΚΑ ΠΡΟΪΟΝΤΑ ΥΓΕΙΑΣ ΕΛΛΑΣ Α.Ε.</v>
      </c>
      <c r="C491" s="10" t="str">
        <f>"111925"</f>
        <v>111925</v>
      </c>
      <c r="D491" s="3" t="str">
        <f>"5054563120519"</f>
        <v>5054563120519</v>
      </c>
      <c r="E491" s="3" t="str">
        <f>"PARODONTAX GUM+ BREATH &amp; SENSITIVITY 75ML"</f>
        <v>PARODONTAX GUM+ BREATH &amp; SENSITIVITY 75ML</v>
      </c>
      <c r="F491" s="19">
        <v>3.5</v>
      </c>
      <c r="G491" s="5">
        <v>7.0000000000000007E-2</v>
      </c>
      <c r="H491" s="19">
        <f t="shared" si="33"/>
        <v>3.2549999999999999</v>
      </c>
      <c r="I491" s="3"/>
      <c r="J491" s="224"/>
    </row>
    <row r="492" spans="1:10" ht="15" customHeight="1" thickBot="1" x14ac:dyDescent="0.3">
      <c r="A492" s="11">
        <v>5054563071101</v>
      </c>
      <c r="B492" s="130" t="str">
        <f t="shared" si="32"/>
        <v>GLAXOSMITHKLINE ΚΑΤΑΝΑΛΩΤΙΚΑ ΠΡΟΪΟΝΤΑ ΥΓΕΙΑΣ ΕΛΛΑΣ Α.Ε.</v>
      </c>
      <c r="C492" s="11" t="str">
        <f>"052327"</f>
        <v>052327</v>
      </c>
      <c r="D492" s="12" t="str">
        <f>"5054563071101"</f>
        <v>5054563071101</v>
      </c>
      <c r="E492" s="12" t="str">
        <f>"PARODONTAX ULTRA CLEAN 75ML"</f>
        <v>PARODONTAX ULTRA CLEAN 75ML</v>
      </c>
      <c r="F492" s="19">
        <v>3.11</v>
      </c>
      <c r="G492" s="14">
        <v>7.0000000000000007E-2</v>
      </c>
      <c r="H492" s="28">
        <f t="shared" si="33"/>
        <v>2.8922999999999996</v>
      </c>
      <c r="I492" s="12"/>
      <c r="J492" s="220"/>
    </row>
    <row r="493" spans="1:10" ht="15" customHeight="1" x14ac:dyDescent="0.25">
      <c r="A493" s="57">
        <v>5054563010995</v>
      </c>
      <c r="B493" s="71" t="str">
        <f t="shared" si="32"/>
        <v>GLAXOSMITHKLINE ΚΑΤΑΝΑΛΩΤΙΚΑ ΠΡΟΪΟΝΤΑ ΥΓΕΙΑΣ ΕΛΛΑΣ Α.Ε.</v>
      </c>
      <c r="C493" s="57" t="str">
        <f>"8263"</f>
        <v>8263</v>
      </c>
      <c r="D493" s="41" t="str">
        <f>"5054563010995"</f>
        <v>5054563010995</v>
      </c>
      <c r="E493" s="41" t="str">
        <f>"SENSODYNE COMPLETE PROTECTION 75ML"</f>
        <v>SENSODYNE COMPLETE PROTECTION 75ML</v>
      </c>
      <c r="F493" s="19">
        <v>3.26</v>
      </c>
      <c r="G493" s="43">
        <v>0.05</v>
      </c>
      <c r="H493" s="42">
        <f t="shared" si="33"/>
        <v>3.097</v>
      </c>
      <c r="I493" s="41"/>
      <c r="J493" s="218" t="s">
        <v>30</v>
      </c>
    </row>
    <row r="494" spans="1:10" ht="15" customHeight="1" x14ac:dyDescent="0.25">
      <c r="A494" s="25">
        <v>5054563068446</v>
      </c>
      <c r="B494" s="40" t="str">
        <f t="shared" si="32"/>
        <v>GLAXOSMITHKLINE ΚΑΤΑΝΑΛΩΤΙΚΑ ΠΡΟΪΟΝΤΑ ΥΓΕΙΑΣ ΕΛΛΑΣ Α.Ε.</v>
      </c>
      <c r="C494" s="25" t="str">
        <f>"65906"</f>
        <v>65906</v>
      </c>
      <c r="D494" s="18" t="str">
        <f>"5054563068446"</f>
        <v>5054563068446</v>
      </c>
      <c r="E494" s="18" t="str">
        <f>"SENSODYNE EXTRA FRESH GEL 75ML"</f>
        <v>SENSODYNE EXTRA FRESH GEL 75ML</v>
      </c>
      <c r="F494" s="19">
        <v>2.83</v>
      </c>
      <c r="G494" s="20">
        <v>0.05</v>
      </c>
      <c r="H494" s="19">
        <f t="shared" si="33"/>
        <v>2.6884999999999999</v>
      </c>
      <c r="I494" s="18"/>
      <c r="J494" s="218"/>
    </row>
    <row r="495" spans="1:10" ht="15" customHeight="1" x14ac:dyDescent="0.25">
      <c r="A495" s="25">
        <v>5054563026699</v>
      </c>
      <c r="B495" s="40" t="str">
        <f t="shared" si="32"/>
        <v>GLAXOSMITHKLINE ΚΑΤΑΝΑΛΩΤΙΚΑ ΠΡΟΪΟΝΤΑ ΥΓΕΙΑΣ ΕΛΛΑΣ Α.Ε.</v>
      </c>
      <c r="C495" s="25" t="str">
        <f>"32362"</f>
        <v>32362</v>
      </c>
      <c r="D495" s="18" t="str">
        <f>"5054563026699"</f>
        <v>5054563026699</v>
      </c>
      <c r="E495" s="18" t="str">
        <f>"SENSODYNE RAPID ACTION75 ML"</f>
        <v>SENSODYNE RAPID ACTION75 ML</v>
      </c>
      <c r="F495" s="19">
        <v>3.12</v>
      </c>
      <c r="G495" s="20">
        <v>0.05</v>
      </c>
      <c r="H495" s="19">
        <f t="shared" si="33"/>
        <v>2.964</v>
      </c>
      <c r="I495" s="18"/>
      <c r="J495" s="218"/>
    </row>
    <row r="496" spans="1:10" ht="15" customHeight="1" x14ac:dyDescent="0.25">
      <c r="A496" s="25">
        <v>8016825935702</v>
      </c>
      <c r="B496" s="40" t="str">
        <f t="shared" si="32"/>
        <v>GLAXOSMITHKLINE ΚΑΤΑΝΑΛΩΤΙΚΑ ΠΡΟΪΟΝΤΑ ΥΓΕΙΑΣ ΕΛΛΑΣ Α.Ε.</v>
      </c>
      <c r="C496" s="25" t="str">
        <f>"17420"</f>
        <v>17420</v>
      </c>
      <c r="D496" s="18" t="str">
        <f>"8016825935702"</f>
        <v>8016825935702</v>
      </c>
      <c r="E496" s="18" t="str">
        <f>"SENSODYNE REPAIR &amp; PROTECT 75ML"</f>
        <v>SENSODYNE REPAIR &amp; PROTECT 75ML</v>
      </c>
      <c r="F496" s="19">
        <v>3.12</v>
      </c>
      <c r="G496" s="20">
        <v>0.05</v>
      </c>
      <c r="H496" s="19">
        <f t="shared" si="33"/>
        <v>2.964</v>
      </c>
      <c r="I496" s="18"/>
      <c r="J496" s="218"/>
    </row>
    <row r="497" spans="1:10" ht="15" customHeight="1" x14ac:dyDescent="0.25">
      <c r="A497" s="25">
        <v>5054563011886</v>
      </c>
      <c r="B497" s="40" t="str">
        <f t="shared" si="32"/>
        <v>GLAXOSMITHKLINE ΚΑΤΑΝΑΛΩΤΙΚΑ ΠΡΟΪΟΝΤΑ ΥΓΕΙΑΣ ΕΛΛΑΣ Α.Ε.</v>
      </c>
      <c r="C497" s="25" t="str">
        <f>"0540100"</f>
        <v>0540100</v>
      </c>
      <c r="D497" s="18" t="str">
        <f>"5054563011886"</f>
        <v>5054563011886</v>
      </c>
      <c r="E497" s="18" t="str">
        <f>"SENSODYNE REPAIR &amp; PROTECT WHITENING 75ML"</f>
        <v>SENSODYNE REPAIR &amp; PROTECT WHITENING 75ML</v>
      </c>
      <c r="F497" s="19">
        <v>3.26</v>
      </c>
      <c r="G497" s="20">
        <v>0.05</v>
      </c>
      <c r="H497" s="19">
        <f t="shared" si="33"/>
        <v>3.097</v>
      </c>
      <c r="I497" s="18"/>
      <c r="J497" s="218"/>
    </row>
    <row r="498" spans="1:10" ht="15" customHeight="1" thickBot="1" x14ac:dyDescent="0.3">
      <c r="A498" s="25">
        <v>5054563050427</v>
      </c>
      <c r="B498" s="40" t="str">
        <f t="shared" si="32"/>
        <v>GLAXOSMITHKLINE ΚΑΤΑΝΑΛΩΤΙΚΑ ΠΡΟΪΟΝΤΑ ΥΓΕΙΑΣ ΕΛΛΑΣ Α.Ε.</v>
      </c>
      <c r="C498" s="30" t="str">
        <f>"65907"</f>
        <v>65907</v>
      </c>
      <c r="D498" s="31" t="str">
        <f>"5054563050427"</f>
        <v>5054563050427</v>
      </c>
      <c r="E498" s="31" t="str">
        <f>"SENSODYNE SENSITIVITY&amp;GUM 75ML"</f>
        <v>SENSODYNE SENSITIVITY&amp;GUM 75ML</v>
      </c>
      <c r="F498" s="19">
        <v>3.12</v>
      </c>
      <c r="G498" s="33">
        <v>0.05</v>
      </c>
      <c r="H498" s="32">
        <f t="shared" si="33"/>
        <v>2.964</v>
      </c>
      <c r="I498" s="31"/>
      <c r="J498" s="218"/>
    </row>
    <row r="499" spans="1:10" ht="15" customHeight="1" x14ac:dyDescent="0.25">
      <c r="A499" s="6">
        <v>5206867000848</v>
      </c>
      <c r="B499" s="129" t="str">
        <f t="shared" ref="B499:B506" si="34">"ABC KINITRON I.K.E."</f>
        <v>ABC KINITRON I.K.E.</v>
      </c>
      <c r="C499" s="6" t="str">
        <f>"00236"</f>
        <v>00236</v>
      </c>
      <c r="D499" s="7" t="str">
        <f>"5206867000848"</f>
        <v>5206867000848</v>
      </c>
      <c r="E499" s="7" t="str">
        <f>"EASY-GEL CHERRY 120GR ΚΕΡΑΣΙ"</f>
        <v>EASY-GEL CHERRY 120GR ΚΕΡΑΣΙ</v>
      </c>
      <c r="F499" s="19">
        <v>8.09</v>
      </c>
      <c r="G499" s="9">
        <v>0.04</v>
      </c>
      <c r="H499" s="23">
        <f t="shared" si="33"/>
        <v>7.7664</v>
      </c>
      <c r="I499" s="7"/>
      <c r="J499" s="219" t="s">
        <v>41</v>
      </c>
    </row>
    <row r="500" spans="1:10" ht="15" customHeight="1" x14ac:dyDescent="0.25">
      <c r="A500" s="10">
        <v>5206867000855</v>
      </c>
      <c r="B500" s="39" t="str">
        <f t="shared" si="34"/>
        <v>ABC KINITRON I.K.E.</v>
      </c>
      <c r="C500" s="10" t="str">
        <f>"053754"</f>
        <v>053754</v>
      </c>
      <c r="D500" s="3" t="str">
        <f>"5206867000855"</f>
        <v>5206867000855</v>
      </c>
      <c r="E500" s="3" t="str">
        <f>"EASY-GEL CINNAMON 120GR ΚΑΝΕΛΛΑ"</f>
        <v>EASY-GEL CINNAMON 120GR ΚΑΝΕΛΛΑ</v>
      </c>
      <c r="F500" s="19">
        <v>8.09</v>
      </c>
      <c r="G500" s="5">
        <v>0.04</v>
      </c>
      <c r="H500" s="19">
        <f t="shared" si="33"/>
        <v>7.7664</v>
      </c>
      <c r="I500" s="3"/>
      <c r="J500" s="224"/>
    </row>
    <row r="501" spans="1:10" s="1" customFormat="1" ht="15.75" thickBot="1" x14ac:dyDescent="0.3">
      <c r="A501" s="11">
        <v>5206867000862</v>
      </c>
      <c r="B501" s="130" t="str">
        <f t="shared" si="34"/>
        <v>ABC KINITRON I.K.E.</v>
      </c>
      <c r="C501" s="11" t="str">
        <f>"39459"</f>
        <v>39459</v>
      </c>
      <c r="D501" s="12" t="str">
        <f>"5206867000862"</f>
        <v>5206867000862</v>
      </c>
      <c r="E501" s="12" t="str">
        <f>"EASY-GEL MINT 120GR MENTA"</f>
        <v>EASY-GEL MINT 120GR MENTA</v>
      </c>
      <c r="F501" s="19">
        <v>8.09</v>
      </c>
      <c r="G501" s="14">
        <v>0.04</v>
      </c>
      <c r="H501" s="28">
        <f t="shared" si="33"/>
        <v>7.7664</v>
      </c>
      <c r="I501" s="12"/>
      <c r="J501" s="220"/>
    </row>
    <row r="502" spans="1:10" ht="15" customHeight="1" x14ac:dyDescent="0.25">
      <c r="A502" s="21">
        <v>5206867000961</v>
      </c>
      <c r="B502" s="131" t="str">
        <f t="shared" si="34"/>
        <v>ABC KINITRON I.K.E.</v>
      </c>
      <c r="C502" s="57" t="str">
        <f>"59206"</f>
        <v>59206</v>
      </c>
      <c r="D502" s="41" t="str">
        <f>"5206867000961"</f>
        <v>5206867000961</v>
      </c>
      <c r="E502" s="41" t="str">
        <f>"THERASOL JUNIOR MOUTHWASH 250ML"</f>
        <v>THERASOL JUNIOR MOUTHWASH 250ML</v>
      </c>
      <c r="F502" s="19">
        <v>4.97</v>
      </c>
      <c r="G502" s="43">
        <v>0.08</v>
      </c>
      <c r="H502" s="42">
        <f t="shared" si="33"/>
        <v>4.5724</v>
      </c>
      <c r="I502" s="41"/>
      <c r="J502" s="218" t="s">
        <v>43</v>
      </c>
    </row>
    <row r="503" spans="1:10" ht="15" customHeight="1" x14ac:dyDescent="0.25">
      <c r="A503" s="25">
        <v>5200346210018</v>
      </c>
      <c r="B503" s="40" t="str">
        <f t="shared" si="34"/>
        <v>ABC KINITRON I.K.E.</v>
      </c>
      <c r="C503" s="25" t="str">
        <f>"2549"</f>
        <v>2549</v>
      </c>
      <c r="D503" s="18" t="str">
        <f>"5200346210018"</f>
        <v>5200346210018</v>
      </c>
      <c r="E503" s="18" t="str">
        <f>"THERASOL LIQUID 250ML ANTIPLAQUES BLUE"</f>
        <v>THERASOL LIQUID 250ML ANTIPLAQUES BLUE</v>
      </c>
      <c r="F503" s="19">
        <v>7.52</v>
      </c>
      <c r="G503" s="20">
        <v>0.08</v>
      </c>
      <c r="H503" s="19">
        <f t="shared" si="33"/>
        <v>6.9183999999999992</v>
      </c>
      <c r="I503" s="18"/>
      <c r="J503" s="218"/>
    </row>
    <row r="504" spans="1:10" ht="15" customHeight="1" x14ac:dyDescent="0.25">
      <c r="A504" s="25">
        <v>5206867001005</v>
      </c>
      <c r="B504" s="40" t="str">
        <f t="shared" si="34"/>
        <v>ABC KINITRON I.K.E.</v>
      </c>
      <c r="C504" s="25" t="str">
        <f>"85565"</f>
        <v>85565</v>
      </c>
      <c r="D504" s="18" t="str">
        <f>"5206867001005"</f>
        <v>5206867001005</v>
      </c>
      <c r="E504" s="18" t="str">
        <f>"THERASOL MED LIQUID 250ML"</f>
        <v>THERASOL MED LIQUID 250ML</v>
      </c>
      <c r="F504" s="19">
        <v>7.69</v>
      </c>
      <c r="G504" s="20">
        <v>0.08</v>
      </c>
      <c r="H504" s="19">
        <f t="shared" si="33"/>
        <v>7.0748000000000006</v>
      </c>
      <c r="I504" s="18"/>
      <c r="J504" s="218"/>
    </row>
    <row r="505" spans="1:10" ht="15" customHeight="1" x14ac:dyDescent="0.25">
      <c r="A505" s="25">
        <v>5206867000824</v>
      </c>
      <c r="B505" s="40" t="str">
        <f t="shared" si="34"/>
        <v>ABC KINITRON I.K.E.</v>
      </c>
      <c r="C505" s="25" t="str">
        <f>"052518"</f>
        <v>052518</v>
      </c>
      <c r="D505" s="18" t="str">
        <f>"5206867000824"</f>
        <v>5206867000824</v>
      </c>
      <c r="E505" s="18" t="str">
        <f>"THERASOL PLUS LIQUID 250ML (ΚΑΚΟΣΜΙΑ)"</f>
        <v>THERASOL PLUS LIQUID 250ML (ΚΑΚΟΣΜΙΑ)</v>
      </c>
      <c r="F505" s="19">
        <v>7.52</v>
      </c>
      <c r="G505" s="20">
        <v>0.08</v>
      </c>
      <c r="H505" s="19">
        <f t="shared" si="33"/>
        <v>6.9183999999999992</v>
      </c>
      <c r="I505" s="18"/>
      <c r="J505" s="218"/>
    </row>
    <row r="506" spans="1:10" ht="15" customHeight="1" thickBot="1" x14ac:dyDescent="0.3">
      <c r="A506" s="26">
        <v>5206867000831</v>
      </c>
      <c r="B506" s="132" t="str">
        <f t="shared" si="34"/>
        <v>ABC KINITRON I.K.E.</v>
      </c>
      <c r="C506" s="30" t="str">
        <f>"052471"</f>
        <v>052471</v>
      </c>
      <c r="D506" s="31" t="str">
        <f>"5206867000831"</f>
        <v>5206867000831</v>
      </c>
      <c r="E506" s="31" t="str">
        <f>"THERASOL TOOTHPASTE 75ML"</f>
        <v>THERASOL TOOTHPASTE 75ML</v>
      </c>
      <c r="F506" s="19">
        <v>3.94</v>
      </c>
      <c r="G506" s="33">
        <v>0.08</v>
      </c>
      <c r="H506" s="32">
        <f t="shared" si="33"/>
        <v>3.6248</v>
      </c>
      <c r="I506" s="31"/>
      <c r="J506" s="218"/>
    </row>
    <row r="507" spans="1:10" x14ac:dyDescent="0.25">
      <c r="A507" s="112">
        <v>8426181972769</v>
      </c>
      <c r="B507" s="148" t="str">
        <f>"ΦΑΡΜΑΣΕΡΒ-ΛΙΛΛΥ Α.Ε.Β.Ε"</f>
        <v>ΦΑΡΜΑΣΕΡΒ-ΛΙΛΛΥ Α.Ε.Β.Ε</v>
      </c>
      <c r="C507" s="6" t="str">
        <f>"050822"</f>
        <v>050822</v>
      </c>
      <c r="D507" s="7" t="str">
        <f>"8426181972769"</f>
        <v>8426181972769</v>
      </c>
      <c r="E507" s="7" t="str">
        <f>"XEROSTOM GEL-ΥΠΟΚΑΤΑΣΤΑΤΟ ΣΙΕΛΟΥ"</f>
        <v>XEROSTOM GEL-ΥΠΟΚΑΤΑΣΤΑΤΟ ΣΙΕΛΟΥ</v>
      </c>
      <c r="F507" s="19">
        <v>5.08</v>
      </c>
      <c r="G507" s="9">
        <v>0.05</v>
      </c>
      <c r="H507" s="23">
        <f t="shared" si="33"/>
        <v>4.8260000000000005</v>
      </c>
      <c r="I507" s="7"/>
      <c r="J507" s="219" t="s">
        <v>30</v>
      </c>
    </row>
    <row r="508" spans="1:10" x14ac:dyDescent="0.25">
      <c r="A508" s="113">
        <v>8426181973513</v>
      </c>
      <c r="B508" s="114" t="str">
        <f>"ΦΑΡΜΑΣΕΡΒ-ΛΙΛΛΥ Α.Ε.Β.Ε"</f>
        <v>ΦΑΡΜΑΣΕΡΒ-ΛΙΛΛΥ Α.Ε.Β.Ε</v>
      </c>
      <c r="C508" s="10" t="str">
        <f>"050821"</f>
        <v>050821</v>
      </c>
      <c r="D508" s="3" t="str">
        <f>"8426181973513"</f>
        <v>8426181973513</v>
      </c>
      <c r="E508" s="3" t="str">
        <f>"XEROSTOM MOUTH SPRAY 15ML"</f>
        <v>XEROSTOM MOUTH SPRAY 15ML</v>
      </c>
      <c r="F508" s="19">
        <v>4.2</v>
      </c>
      <c r="G508" s="5">
        <v>0.05</v>
      </c>
      <c r="H508" s="19">
        <f t="shared" si="33"/>
        <v>3.99</v>
      </c>
      <c r="I508" s="3"/>
      <c r="J508" s="224"/>
    </row>
    <row r="509" spans="1:10" s="1" customFormat="1" x14ac:dyDescent="0.25">
      <c r="A509" s="113">
        <v>8426181972974</v>
      </c>
      <c r="B509" s="114" t="str">
        <f>"ΦΑΡΜΑΣΕΡΒ-ΛΙΛΛΥ Α.Ε.Β.Ε"</f>
        <v>ΦΑΡΜΑΣΕΡΒ-ΛΙΛΛΥ Α.Ε.Β.Ε</v>
      </c>
      <c r="C509" s="10" t="str">
        <f>"050824"</f>
        <v>050824</v>
      </c>
      <c r="D509" s="3" t="str">
        <f>"8426181972974"</f>
        <v>8426181972974</v>
      </c>
      <c r="E509" s="3" t="str">
        <f>"XEROSTOM PASTILIES 30TEM"</f>
        <v>XEROSTOM PASTILIES 30TEM</v>
      </c>
      <c r="F509" s="19">
        <v>5.94</v>
      </c>
      <c r="G509" s="5">
        <v>0.05</v>
      </c>
      <c r="H509" s="19">
        <f t="shared" si="33"/>
        <v>5.6430000000000007</v>
      </c>
      <c r="I509" s="3"/>
      <c r="J509" s="224"/>
    </row>
    <row r="510" spans="1:10" s="1" customFormat="1" x14ac:dyDescent="0.25">
      <c r="A510" s="113">
        <v>8426181972752</v>
      </c>
      <c r="B510" s="114" t="str">
        <f>"ΦΑΡΜΑΣΕΡΒ-ΛΙΛΛΥ Α.Ε.Β.Ε"</f>
        <v>ΦΑΡΜΑΣΕΡΒ-ΛΙΛΛΥ Α.Ε.Β.Ε</v>
      </c>
      <c r="C510" s="10" t="str">
        <f>"050823"</f>
        <v>050823</v>
      </c>
      <c r="D510" s="3" t="str">
        <f>"8426181972752"</f>
        <v>8426181972752</v>
      </c>
      <c r="E510" s="3" t="str">
        <f>"XEROSTOM ΟΔΟΝΤΟΚΡΕΜΑ 50ML"</f>
        <v>XEROSTOM ΟΔΟΝΤΟΚΡΕΜΑ 50ML</v>
      </c>
      <c r="F510" s="19">
        <v>4.62</v>
      </c>
      <c r="G510" s="5">
        <v>0.05</v>
      </c>
      <c r="H510" s="19">
        <f t="shared" si="33"/>
        <v>4.3890000000000002</v>
      </c>
      <c r="I510" s="3"/>
      <c r="J510" s="224"/>
    </row>
    <row r="511" spans="1:10" ht="15.75" thickBot="1" x14ac:dyDescent="0.3">
      <c r="A511" s="113">
        <v>8426181972523</v>
      </c>
      <c r="B511" s="149" t="str">
        <f>"ΦΑΡΜΑΣΕΡΒ-ΛΙΛΛΥ Α.Ε.Β.Ε"</f>
        <v>ΦΑΡΜΑΣΕΡΒ-ΛΙΛΛΥ Α.Ε.Β.Ε</v>
      </c>
      <c r="C511" s="11" t="str">
        <f>"050820"</f>
        <v>050820</v>
      </c>
      <c r="D511" s="12" t="str">
        <f>"8426181972523"</f>
        <v>8426181972523</v>
      </c>
      <c r="E511" s="12" t="str">
        <f>"XEROSTOM ΣΤΟΜΑΤΙΚΟ ΔΙΑΛΥΜΜΑ 250ML"</f>
        <v>XEROSTOM ΣΤΟΜΑΤΙΚΟ ΔΙΑΛΥΜΜΑ 250ML</v>
      </c>
      <c r="F511" s="19">
        <v>5.48</v>
      </c>
      <c r="G511" s="14">
        <v>0.05</v>
      </c>
      <c r="H511" s="28">
        <f t="shared" si="33"/>
        <v>5.2060000000000004</v>
      </c>
      <c r="I511" s="12"/>
      <c r="J511" s="220"/>
    </row>
    <row r="512" spans="1:10" ht="15" customHeight="1" x14ac:dyDescent="0.25">
      <c r="A512" s="114">
        <v>5202888105333</v>
      </c>
      <c r="B512" s="150" t="str">
        <f>"FREZYDERM A.B.E.E."</f>
        <v>FREZYDERM A.B.E.E.</v>
      </c>
      <c r="C512" s="57" t="str">
        <f>"07895"</f>
        <v>07895</v>
      </c>
      <c r="D512" s="41" t="str">
        <f>"5202888105333"</f>
        <v>5202888105333</v>
      </c>
      <c r="E512" s="41" t="str">
        <f>"FREZYLAC AR 400GR"</f>
        <v>FREZYLAC AR 400GR</v>
      </c>
      <c r="F512" s="19">
        <v>13.75</v>
      </c>
      <c r="G512" s="43">
        <v>0.08</v>
      </c>
      <c r="H512" s="42">
        <f t="shared" si="33"/>
        <v>12.65</v>
      </c>
      <c r="I512" s="41"/>
      <c r="J512" s="218" t="s">
        <v>16</v>
      </c>
    </row>
    <row r="513" spans="1:10" ht="15" customHeight="1" x14ac:dyDescent="0.25">
      <c r="A513" s="114">
        <v>5202888105890</v>
      </c>
      <c r="B513" s="113" t="str">
        <f>"FREZYDERM A.B.E.E."</f>
        <v>FREZYDERM A.B.E.E.</v>
      </c>
      <c r="C513" s="25" t="str">
        <f>"45201"</f>
        <v>45201</v>
      </c>
      <c r="D513" s="18" t="str">
        <f>"5202888105890"</f>
        <v>5202888105890</v>
      </c>
      <c r="E513" s="18" t="str">
        <f>"FREZYLAC GOLD No1 400GR ΒΙΟΛΟΓΙΚΟ ΓΑΛΑ ΕΩΣ ΤΟΝ 6ο ΜΗΝΑ"</f>
        <v>FREZYLAC GOLD No1 400GR ΒΙΟΛΟΓΙΚΟ ΓΑΛΑ ΕΩΣ ΤΟΝ 6ο ΜΗΝΑ</v>
      </c>
      <c r="F513" s="19">
        <v>12.41</v>
      </c>
      <c r="G513" s="20">
        <v>0.08</v>
      </c>
      <c r="H513" s="19">
        <f t="shared" si="33"/>
        <v>11.417199999999999</v>
      </c>
      <c r="I513" s="18"/>
      <c r="J513" s="218"/>
    </row>
    <row r="514" spans="1:10" ht="15" customHeight="1" x14ac:dyDescent="0.25">
      <c r="A514" s="114">
        <v>5202888109263</v>
      </c>
      <c r="B514" s="113" t="str">
        <f>"FREZYDERM A.B.E.E."</f>
        <v>FREZYDERM A.B.E.E.</v>
      </c>
      <c r="C514" s="25" t="str">
        <f>"054173"</f>
        <v>054173</v>
      </c>
      <c r="D514" s="18" t="str">
        <f>"5202888109263"</f>
        <v>5202888109263</v>
      </c>
      <c r="E514" s="18" t="str">
        <f>"FREZYLAC OK 400GR"</f>
        <v>FREZYLAC OK 400GR</v>
      </c>
      <c r="F514" s="19">
        <v>12.69</v>
      </c>
      <c r="G514" s="20">
        <v>0.08</v>
      </c>
      <c r="H514" s="19">
        <f t="shared" si="33"/>
        <v>11.674799999999999</v>
      </c>
      <c r="I514" s="18"/>
      <c r="J514" s="218"/>
    </row>
    <row r="515" spans="1:10" ht="15" customHeight="1" x14ac:dyDescent="0.25">
      <c r="A515" s="114">
        <v>5202888105883</v>
      </c>
      <c r="B515" s="113" t="str">
        <f>"FREZYDERM A.B.E.E."</f>
        <v>FREZYDERM A.B.E.E.</v>
      </c>
      <c r="C515" s="25" t="str">
        <f>"45206"</f>
        <v>45206</v>
      </c>
      <c r="D515" s="18" t="str">
        <f>"5202888105883"</f>
        <v>5202888105883</v>
      </c>
      <c r="E515" s="18" t="str">
        <f>"FREZYLAC PLATINUM No3 400GR ΒΙΟΛΟΓΙΚΟ ΚΑΤΣΙΚΙΣΙΟ ΓΑΛΑ ΑΠΟ ΤΟΝ 10ο ΜΗΝΑ"</f>
        <v>FREZYLAC PLATINUM No3 400GR ΒΙΟΛΟΓΙΚΟ ΚΑΤΣΙΚΙΣΙΟ ΓΑΛΑ ΑΠΟ ΤΟΝ 10ο ΜΗΝΑ</v>
      </c>
      <c r="F515" s="19">
        <v>12.3</v>
      </c>
      <c r="G515" s="20">
        <v>0.08</v>
      </c>
      <c r="H515" s="19">
        <f t="shared" si="33"/>
        <v>11.316000000000001</v>
      </c>
      <c r="I515" s="18"/>
      <c r="J515" s="218"/>
    </row>
    <row r="516" spans="1:10" ht="15" customHeight="1" thickBot="1" x14ac:dyDescent="0.3">
      <c r="A516" s="113">
        <v>5202888105432</v>
      </c>
      <c r="B516" s="151" t="str">
        <f>"FREZYDERM A.B.E.E."</f>
        <v>FREZYDERM A.B.E.E.</v>
      </c>
      <c r="C516" s="30" t="str">
        <f>"054099"</f>
        <v>054099</v>
      </c>
      <c r="D516" s="31" t="str">
        <f>"5202888105432"</f>
        <v>5202888105432</v>
      </c>
      <c r="E516" s="31" t="str">
        <f>"FREZYLAC ΒΡΩΜΗ ΟΛΙΚΗΣ ΑΛΕΣΗΣ ΓΑΛΑ-ΜΗΛΟ-ΒΑΝΙΛΙΑ 200GR ΑΠΟ ΤΟΝ 6ο ΜΗΝΑ ΜΕ ΠΡΟΒΙΟΤΙΚΑ BIFIDUS ΑΠΟ ΤΟΝ 6ο ΜΗΝΑ"</f>
        <v>FREZYLAC ΒΡΩΜΗ ΟΛΙΚΗΣ ΑΛΕΣΗΣ ΓΑΛΑ-ΜΗΛΟ-ΒΑΝΙΛΙΑ 200GR ΑΠΟ ΤΟΝ 6ο ΜΗΝΑ ΜΕ ΠΡΟΒΙΟΤΙΚΑ BIFIDUS ΑΠΟ ΤΟΝ 6ο ΜΗΝΑ</v>
      </c>
      <c r="F516" s="19">
        <v>3.69</v>
      </c>
      <c r="G516" s="33">
        <v>0.08</v>
      </c>
      <c r="H516" s="32">
        <f t="shared" si="33"/>
        <v>3.3948</v>
      </c>
      <c r="I516" s="31"/>
      <c r="J516" s="218"/>
    </row>
    <row r="517" spans="1:10" x14ac:dyDescent="0.25">
      <c r="A517" s="114">
        <v>8716200731331</v>
      </c>
      <c r="B517" s="152" t="str">
        <f t="shared" ref="B517:B532" si="35">"ΦΡΗΣΛΑΝΤΚΑΜΠΙΝΑ ΕΛΛΑΣ Α.Ε."</f>
        <v>ΦΡΗΣΛΑΝΤΚΑΜΠΙΝΑ ΕΛΛΑΣ Α.Ε.</v>
      </c>
      <c r="C517" s="6" t="str">
        <f>"050640"</f>
        <v>050640</v>
      </c>
      <c r="D517" s="7" t="str">
        <f>"8716200731331"</f>
        <v>8716200731331</v>
      </c>
      <c r="E517" s="7" t="str">
        <f>"FRISOGROW 400GR EASY LID"</f>
        <v>FRISOGROW 400GR EASY LID</v>
      </c>
      <c r="F517" s="19">
        <v>9.7200000000000006</v>
      </c>
      <c r="G517" s="9">
        <v>0.08</v>
      </c>
      <c r="H517" s="23">
        <f t="shared" si="33"/>
        <v>8.942400000000001</v>
      </c>
      <c r="I517" s="7"/>
      <c r="J517" s="219" t="s">
        <v>16</v>
      </c>
    </row>
    <row r="518" spans="1:10" x14ac:dyDescent="0.25">
      <c r="A518" s="114">
        <v>8716200731355</v>
      </c>
      <c r="B518" s="114" t="str">
        <f t="shared" si="35"/>
        <v>ΦΡΗΣΛΑΝΤΚΑΜΠΙΝΑ ΕΛΛΑΣ Α.Ε.</v>
      </c>
      <c r="C518" s="10" t="str">
        <f>"21946"</f>
        <v>21946</v>
      </c>
      <c r="D518" s="3" t="str">
        <f>"8716200731355"</f>
        <v>8716200731355</v>
      </c>
      <c r="E518" s="3" t="str">
        <f>"FRISOGROW 800MG EASY LID"</f>
        <v>FRISOGROW 800MG EASY LID</v>
      </c>
      <c r="F518" s="19">
        <v>18.48</v>
      </c>
      <c r="G518" s="5">
        <v>0.08</v>
      </c>
      <c r="H518" s="19">
        <f t="shared" si="33"/>
        <v>17.0016</v>
      </c>
      <c r="I518" s="3"/>
      <c r="J518" s="224"/>
    </row>
    <row r="519" spans="1:10" ht="15" customHeight="1" x14ac:dyDescent="0.25">
      <c r="A519" s="114">
        <v>8716200758277</v>
      </c>
      <c r="B519" s="114" t="str">
        <f t="shared" si="35"/>
        <v>ΦΡΗΣΛΑΝΤΚΑΜΠΙΝΑ ΕΛΛΑΣ Α.Ε.</v>
      </c>
      <c r="C519" s="10" t="str">
        <f>"96387"</f>
        <v>96387</v>
      </c>
      <c r="D519" s="3" t="str">
        <f>"8716200758277"</f>
        <v>8716200758277</v>
      </c>
      <c r="E519" s="3" t="str">
        <f>"FRISOGROW COMFORT NEXT 1-3 ΕΤΩΝ 400GR"</f>
        <v>FRISOGROW COMFORT NEXT 1-3 ΕΤΩΝ 400GR</v>
      </c>
      <c r="F519" s="19">
        <v>13.1</v>
      </c>
      <c r="G519" s="5">
        <v>0.08</v>
      </c>
      <c r="H519" s="19">
        <f t="shared" si="33"/>
        <v>12.052</v>
      </c>
      <c r="I519" s="3"/>
      <c r="J519" s="224"/>
    </row>
    <row r="520" spans="1:10" x14ac:dyDescent="0.25">
      <c r="A520" s="114">
        <v>8716200727013</v>
      </c>
      <c r="B520" s="114" t="str">
        <f t="shared" si="35"/>
        <v>ΦΡΗΣΛΑΝΤΚΑΜΠΙΝΑ ΕΛΛΑΣ Α.Ε.</v>
      </c>
      <c r="C520" s="10" t="str">
        <f>"01423"</f>
        <v>01423</v>
      </c>
      <c r="D520" s="3" t="str">
        <f>"8716200727013"</f>
        <v>8716200727013</v>
      </c>
      <c r="E520" s="3" t="str">
        <f>"FRISOLAC 400GR EASY LID"</f>
        <v>FRISOLAC 400GR EASY LID</v>
      </c>
      <c r="F520" s="19">
        <v>12.21</v>
      </c>
      <c r="G520" s="5">
        <v>0.08</v>
      </c>
      <c r="H520" s="19">
        <f t="shared" si="33"/>
        <v>11.2332</v>
      </c>
      <c r="I520" s="3"/>
      <c r="J520" s="224"/>
    </row>
    <row r="521" spans="1:10" x14ac:dyDescent="0.25">
      <c r="A521" s="114">
        <v>8716200727037</v>
      </c>
      <c r="B521" s="114" t="str">
        <f t="shared" si="35"/>
        <v>ΦΡΗΣΛΑΝΤΚΑΜΠΙΝΑ ΕΛΛΑΣ Α.Ε.</v>
      </c>
      <c r="C521" s="10" t="str">
        <f>"01256"</f>
        <v>01256</v>
      </c>
      <c r="D521" s="3" t="str">
        <f>"8716200727037"</f>
        <v>8716200727037</v>
      </c>
      <c r="E521" s="3" t="str">
        <f>"FRISOLAC 800GR EASY LID"</f>
        <v>FRISOLAC 800GR EASY LID</v>
      </c>
      <c r="F521" s="19">
        <v>23.19</v>
      </c>
      <c r="G521" s="5">
        <v>0.08</v>
      </c>
      <c r="H521" s="19">
        <f t="shared" si="33"/>
        <v>21.334800000000001</v>
      </c>
      <c r="I521" s="3"/>
      <c r="J521" s="224"/>
    </row>
    <row r="522" spans="1:10" x14ac:dyDescent="0.25">
      <c r="A522" s="114">
        <v>8716200727822</v>
      </c>
      <c r="B522" s="114" t="str">
        <f t="shared" si="35"/>
        <v>ΦΡΗΣΛΑΝΤΚΑΜΠΙΝΑ ΕΛΛΑΣ Α.Ε.</v>
      </c>
      <c r="C522" s="10" t="str">
        <f>"6541"</f>
        <v>6541</v>
      </c>
      <c r="D522" s="3" t="str">
        <f>"8716200727822"</f>
        <v>8716200727822</v>
      </c>
      <c r="E522" s="3" t="str">
        <f>"FRISOLAC AC 400GR EASY LID"</f>
        <v>FRISOLAC AC 400GR EASY LID</v>
      </c>
      <c r="F522" s="19">
        <v>16.309999999999999</v>
      </c>
      <c r="G522" s="5">
        <v>0.08</v>
      </c>
      <c r="H522" s="19">
        <f t="shared" si="33"/>
        <v>15.005199999999999</v>
      </c>
      <c r="I522" s="3"/>
      <c r="J522" s="224"/>
    </row>
    <row r="523" spans="1:10" x14ac:dyDescent="0.25">
      <c r="A523" s="114">
        <v>8716200728997</v>
      </c>
      <c r="B523" s="114" t="str">
        <f t="shared" si="35"/>
        <v>ΦΡΗΣΛΑΝΤΚΑΜΠΙΝΑ ΕΛΛΑΣ Α.Ε.</v>
      </c>
      <c r="C523" s="10" t="str">
        <f>"13020"</f>
        <v>13020</v>
      </c>
      <c r="D523" s="3" t="str">
        <f>"8716200728997"</f>
        <v>8716200728997</v>
      </c>
      <c r="E523" s="3" t="str">
        <f>"FRISOLAC AR 400GR EASY LID"</f>
        <v>FRISOLAC AR 400GR EASY LID</v>
      </c>
      <c r="F523" s="19">
        <v>15.13</v>
      </c>
      <c r="G523" s="5">
        <v>0.08</v>
      </c>
      <c r="H523" s="19">
        <f t="shared" si="33"/>
        <v>13.919600000000001</v>
      </c>
      <c r="I523" s="3"/>
      <c r="J523" s="224"/>
    </row>
    <row r="524" spans="1:10" x14ac:dyDescent="0.25">
      <c r="A524" s="114">
        <v>8716200728515</v>
      </c>
      <c r="B524" s="114" t="str">
        <f t="shared" si="35"/>
        <v>ΦΡΗΣΛΑΝΤΚΑΜΠΙΝΑ ΕΛΛΑΣ Α.Ε.</v>
      </c>
      <c r="C524" s="10" t="str">
        <f>"03377"</f>
        <v>03377</v>
      </c>
      <c r="D524" s="3" t="str">
        <f>"8716200728515"</f>
        <v>8716200728515</v>
      </c>
      <c r="E524" s="3" t="str">
        <f>"FRISOLAC COMFORT 400GR EASY LID"</f>
        <v>FRISOLAC COMFORT 400GR EASY LID</v>
      </c>
      <c r="F524" s="19">
        <v>14.53</v>
      </c>
      <c r="G524" s="5">
        <v>0.08</v>
      </c>
      <c r="H524" s="19">
        <f t="shared" si="33"/>
        <v>13.367599999999999</v>
      </c>
      <c r="I524" s="3"/>
      <c r="J524" s="224"/>
    </row>
    <row r="525" spans="1:10" x14ac:dyDescent="0.25">
      <c r="A525" s="114">
        <v>8716200728478</v>
      </c>
      <c r="B525" s="114" t="str">
        <f t="shared" si="35"/>
        <v>ΦΡΗΣΛΑΝΤΚΑΜΠΙΝΑ ΕΛΛΑΣ Α.Ε.</v>
      </c>
      <c r="C525" s="10" t="str">
        <f>"0008963"</f>
        <v>0008963</v>
      </c>
      <c r="D525" s="3" t="str">
        <f>"8716200728478"</f>
        <v>8716200728478</v>
      </c>
      <c r="E525" s="3" t="str">
        <f>"FRISOLAC COMFORT 800GR EASY LID"</f>
        <v>FRISOLAC COMFORT 800GR EASY LID</v>
      </c>
      <c r="F525" s="19">
        <v>28.12</v>
      </c>
      <c r="G525" s="5">
        <v>0.08</v>
      </c>
      <c r="H525" s="19">
        <f t="shared" si="33"/>
        <v>25.8704</v>
      </c>
      <c r="I525" s="3"/>
      <c r="J525" s="224"/>
    </row>
    <row r="526" spans="1:10" x14ac:dyDescent="0.25">
      <c r="A526" s="114">
        <v>8716200727853</v>
      </c>
      <c r="B526" s="114" t="str">
        <f t="shared" si="35"/>
        <v>ΦΡΗΣΛΑΝΤΚΑΜΠΙΝΑ ΕΛΛΑΣ Α.Ε.</v>
      </c>
      <c r="C526" s="10" t="str">
        <f>"03378"</f>
        <v>03378</v>
      </c>
      <c r="D526" s="3" t="str">
        <f>"8716200727853"</f>
        <v>8716200727853</v>
      </c>
      <c r="E526" s="3" t="str">
        <f>"FRISOLAC HA 400GR EASY LID"</f>
        <v>FRISOLAC HA 400GR EASY LID</v>
      </c>
      <c r="F526" s="19">
        <v>15.65</v>
      </c>
      <c r="G526" s="5">
        <v>0.08</v>
      </c>
      <c r="H526" s="19">
        <f t="shared" si="33"/>
        <v>14.398</v>
      </c>
      <c r="I526" s="3"/>
      <c r="J526" s="224"/>
    </row>
    <row r="527" spans="1:10" x14ac:dyDescent="0.25">
      <c r="A527" s="114">
        <v>8716200727891</v>
      </c>
      <c r="B527" s="114" t="str">
        <f t="shared" si="35"/>
        <v>ΦΡΗΣΛΑΝΤΚΑΜΠΙΝΑ ΕΛΛΑΣ Α.Ε.</v>
      </c>
      <c r="C527" s="10" t="str">
        <f>"47000"</f>
        <v>47000</v>
      </c>
      <c r="D527" s="3" t="str">
        <f>"8716200727891"</f>
        <v>8716200727891</v>
      </c>
      <c r="E527" s="3" t="str">
        <f>"FRISOLAC LACTOSE FREE 400GR"</f>
        <v>FRISOLAC LACTOSE FREE 400GR</v>
      </c>
      <c r="F527" s="19">
        <v>15.34</v>
      </c>
      <c r="G527" s="5">
        <v>0.08</v>
      </c>
      <c r="H527" s="19">
        <f t="shared" si="33"/>
        <v>14.1128</v>
      </c>
      <c r="I527" s="3"/>
      <c r="J527" s="224"/>
    </row>
    <row r="528" spans="1:10" x14ac:dyDescent="0.25">
      <c r="A528" s="114">
        <v>8716200729017</v>
      </c>
      <c r="B528" s="114" t="str">
        <f t="shared" si="35"/>
        <v>ΦΡΗΣΛΑΝΤΚΑΜΠΙΝΑ ΕΛΛΑΣ Α.Ε.</v>
      </c>
      <c r="C528" s="10" t="str">
        <f>"42101"</f>
        <v>42101</v>
      </c>
      <c r="D528" s="3" t="str">
        <f>"8716200729017"</f>
        <v>8716200729017</v>
      </c>
      <c r="E528" s="3" t="str">
        <f>"FRISOLAC PEP 400GR"</f>
        <v>FRISOLAC PEP 400GR</v>
      </c>
      <c r="F528" s="19">
        <v>15.05</v>
      </c>
      <c r="G528" s="5">
        <v>0.08</v>
      </c>
      <c r="H528" s="19">
        <f t="shared" si="33"/>
        <v>13.846</v>
      </c>
      <c r="I528" s="3"/>
      <c r="J528" s="224"/>
    </row>
    <row r="529" spans="1:10" x14ac:dyDescent="0.25">
      <c r="A529" s="114">
        <v>8716200728942</v>
      </c>
      <c r="B529" s="114" t="str">
        <f t="shared" si="35"/>
        <v>ΦΡΗΣΛΑΝΤΚΑΜΠΙΝΑ ΕΛΛΑΣ Α.Ε.</v>
      </c>
      <c r="C529" s="10" t="str">
        <f>"052982"</f>
        <v>052982</v>
      </c>
      <c r="D529" s="3" t="str">
        <f>"8716200728942"</f>
        <v>8716200728942</v>
      </c>
      <c r="E529" s="3" t="str">
        <f>"FRISOLAC POST DISCHARGE 400GR EASY LID"</f>
        <v>FRISOLAC POST DISCHARGE 400GR EASY LID</v>
      </c>
      <c r="F529" s="19">
        <v>15.21</v>
      </c>
      <c r="G529" s="5">
        <v>0.08</v>
      </c>
      <c r="H529" s="19">
        <f t="shared" si="33"/>
        <v>13.993200000000002</v>
      </c>
      <c r="I529" s="3"/>
      <c r="J529" s="224"/>
    </row>
    <row r="530" spans="1:10" x14ac:dyDescent="0.25">
      <c r="A530" s="114">
        <v>8716200727075</v>
      </c>
      <c r="B530" s="114" t="str">
        <f t="shared" si="35"/>
        <v>ΦΡΗΣΛΑΝΤΚΑΜΠΙΝΑ ΕΛΛΑΣ Α.Ε.</v>
      </c>
      <c r="C530" s="10" t="str">
        <f>"54223"</f>
        <v>54223</v>
      </c>
      <c r="D530" s="3" t="str">
        <f>"8716200727075"</f>
        <v>8716200727075</v>
      </c>
      <c r="E530" s="3" t="str">
        <f>"FRISOMEL 400GR EASY LID"</f>
        <v>FRISOMEL 400GR EASY LID</v>
      </c>
      <c r="F530" s="19">
        <v>9.9</v>
      </c>
      <c r="G530" s="5">
        <v>0.08</v>
      </c>
      <c r="H530" s="19">
        <f t="shared" si="33"/>
        <v>9.1080000000000005</v>
      </c>
      <c r="I530" s="3"/>
      <c r="J530" s="224"/>
    </row>
    <row r="531" spans="1:10" x14ac:dyDescent="0.25">
      <c r="A531" s="114">
        <v>8716200727099</v>
      </c>
      <c r="B531" s="114" t="str">
        <f t="shared" si="35"/>
        <v>ΦΡΗΣΛΑΝΤΚΑΜΠΙΝΑ ΕΛΛΑΣ Α.Ε.</v>
      </c>
      <c r="C531" s="10" t="str">
        <f>"42053"</f>
        <v>42053</v>
      </c>
      <c r="D531" s="3" t="str">
        <f>"8716200727099"</f>
        <v>8716200727099</v>
      </c>
      <c r="E531" s="3" t="str">
        <f>"FRISOMEL 800GR EASY LID"</f>
        <v>FRISOMEL 800GR EASY LID</v>
      </c>
      <c r="F531" s="19">
        <v>18.760000000000002</v>
      </c>
      <c r="G531" s="5">
        <v>0.08</v>
      </c>
      <c r="H531" s="19">
        <f t="shared" si="33"/>
        <v>17.2592</v>
      </c>
      <c r="I531" s="3"/>
      <c r="J531" s="224"/>
    </row>
    <row r="532" spans="1:10" ht="15.75" thickBot="1" x14ac:dyDescent="0.3">
      <c r="A532" s="115">
        <v>8716200728553</v>
      </c>
      <c r="B532" s="115" t="str">
        <f t="shared" si="35"/>
        <v>ΦΡΗΣΛΑΝΤΚΑΜΠΙΝΑ ΕΛΛΑΣ Α.Ε.</v>
      </c>
      <c r="C532" s="11" t="str">
        <f>"050639"</f>
        <v>050639</v>
      </c>
      <c r="D532" s="12" t="str">
        <f>"8716200728553"</f>
        <v>8716200728553</v>
      </c>
      <c r="E532" s="12" t="str">
        <f>"FRISOMEL COMFORT 400GR EASY LID"</f>
        <v>FRISOMEL COMFORT 400GR EASY LID</v>
      </c>
      <c r="F532" s="19">
        <v>13.6</v>
      </c>
      <c r="G532" s="14">
        <v>0.08</v>
      </c>
      <c r="H532" s="28">
        <f t="shared" si="33"/>
        <v>12.512</v>
      </c>
      <c r="I532" s="12"/>
      <c r="J532" s="220"/>
    </row>
    <row r="533" spans="1:10" ht="15" customHeight="1" thickBot="1" x14ac:dyDescent="0.3">
      <c r="A533" s="86">
        <v>8002140123016</v>
      </c>
      <c r="B533" s="139" t="str">
        <f>"HEALTH PLUS A.E."</f>
        <v>HEALTH PLUS A.E.</v>
      </c>
      <c r="C533" s="72" t="str">
        <f>"25920"</f>
        <v>25920</v>
      </c>
      <c r="D533" s="73" t="str">
        <f>"8002140123016"</f>
        <v>8002140123016</v>
      </c>
      <c r="E533" s="73" t="str">
        <f>"CICCARELLI ΥΓΡΟ ΚΑΛΩΝ 12ML"</f>
        <v>CICCARELLI ΥΓΡΟ ΚΑΛΩΝ 12ML</v>
      </c>
      <c r="F533" s="19">
        <v>2.9</v>
      </c>
      <c r="G533" s="75">
        <v>0.1</v>
      </c>
      <c r="H533" s="74">
        <f t="shared" si="33"/>
        <v>2.61</v>
      </c>
      <c r="I533" s="73"/>
      <c r="J533" s="108" t="s">
        <v>73</v>
      </c>
    </row>
    <row r="534" spans="1:10" ht="15" customHeight="1" x14ac:dyDescent="0.25">
      <c r="A534" s="6">
        <v>5012654201905</v>
      </c>
      <c r="B534" s="129" t="str">
        <f>"VICAN AE"</f>
        <v>VICAN AE</v>
      </c>
      <c r="C534" s="6" t="str">
        <f>"22574"</f>
        <v>22574</v>
      </c>
      <c r="D534" s="7" t="str">
        <f>"5012654201905"</f>
        <v>5012654201905</v>
      </c>
      <c r="E534" s="7" t="str">
        <f>"CARNATION CALLOUS CAPS x2 ΕΠΙΚΑΛΙΑ (ADAPTOPLAST)"</f>
        <v>CARNATION CALLOUS CAPS x2 ΕΠΙΚΑΛΙΑ (ADAPTOPLAST)</v>
      </c>
      <c r="F534" s="19">
        <v>3.7</v>
      </c>
      <c r="G534" s="9">
        <v>0.08</v>
      </c>
      <c r="H534" s="23">
        <f t="shared" si="33"/>
        <v>3.4039999999999999</v>
      </c>
      <c r="I534" s="7"/>
      <c r="J534" s="225" t="s">
        <v>14</v>
      </c>
    </row>
    <row r="535" spans="1:10" ht="15" customHeight="1" thickBot="1" x14ac:dyDescent="0.3">
      <c r="A535" s="11">
        <v>5012654201714</v>
      </c>
      <c r="B535" s="130" t="str">
        <f>"VICAN AE"</f>
        <v>VICAN AE</v>
      </c>
      <c r="C535" s="11" t="str">
        <f>"22584"</f>
        <v>22584</v>
      </c>
      <c r="D535" s="12" t="str">
        <f>"5012654201714"</f>
        <v>5012654201714</v>
      </c>
      <c r="E535" s="12" t="str">
        <f>"CARNATION CORN CAPS x5 (ADAPTOPLAST)"</f>
        <v>CARNATION CORN CAPS x5 (ADAPTOPLAST)</v>
      </c>
      <c r="F535" s="19">
        <v>3.4</v>
      </c>
      <c r="G535" s="14">
        <v>0.08</v>
      </c>
      <c r="H535" s="28">
        <f t="shared" si="33"/>
        <v>3.1280000000000001</v>
      </c>
      <c r="I535" s="12"/>
      <c r="J535" s="227"/>
    </row>
    <row r="536" spans="1:10" ht="15" customHeight="1" thickBot="1" x14ac:dyDescent="0.3">
      <c r="A536" s="100">
        <v>3663555003529</v>
      </c>
      <c r="B536" s="153" t="s">
        <v>7</v>
      </c>
      <c r="C536" s="72" t="str">
        <f>"052151"</f>
        <v>052151</v>
      </c>
      <c r="D536" s="73" t="str">
        <f>"3663555003529"</f>
        <v>3663555003529</v>
      </c>
      <c r="E536" s="73" t="str">
        <f>"COMPEED HERPES PATCH 15PCS"</f>
        <v>COMPEED HERPES PATCH 15PCS</v>
      </c>
      <c r="F536" s="19">
        <v>8.4600000000000009</v>
      </c>
      <c r="G536" s="75">
        <v>0.08</v>
      </c>
      <c r="H536" s="74">
        <f t="shared" si="33"/>
        <v>7.7832000000000008</v>
      </c>
      <c r="I536" s="73"/>
      <c r="J536" s="108" t="s">
        <v>11</v>
      </c>
    </row>
    <row r="537" spans="1:10" ht="15" customHeight="1" x14ac:dyDescent="0.25">
      <c r="A537" s="6">
        <v>3663555002492</v>
      </c>
      <c r="B537" s="129" t="str">
        <f t="shared" ref="B537:B547" si="36">"ΒΙΑΝ Α.Ε"</f>
        <v>ΒΙΑΝ Α.Ε</v>
      </c>
      <c r="C537" s="6" t="str">
        <f>"51500"</f>
        <v>51500</v>
      </c>
      <c r="D537" s="7" t="str">
        <f>"3663555002492"</f>
        <v>3663555002492</v>
      </c>
      <c r="E537" s="7" t="str">
        <f>"COMPEED ΕΠΙΘΕΜΑΤΑ ΓΙΑ ΚΑΛΟΥΣ ΜΕΣΑΙΑ 6ΤΕΜ"</f>
        <v>COMPEED ΕΠΙΘΕΜΑΤΑ ΓΙΑ ΚΑΛΟΥΣ ΜΕΣΑΙΑ 6ΤΕΜ</v>
      </c>
      <c r="F537" s="19">
        <v>4.2300000000000004</v>
      </c>
      <c r="G537" s="9">
        <v>0.05</v>
      </c>
      <c r="H537" s="23">
        <f t="shared" si="33"/>
        <v>4.0185000000000004</v>
      </c>
      <c r="I537" s="7"/>
      <c r="J537" s="219" t="s">
        <v>87</v>
      </c>
    </row>
    <row r="538" spans="1:10" ht="15" customHeight="1" x14ac:dyDescent="0.25">
      <c r="A538" s="10">
        <v>3574660258882</v>
      </c>
      <c r="B538" s="39" t="str">
        <f t="shared" si="36"/>
        <v>ΒΙΑΝ Α.Ε</v>
      </c>
      <c r="C538" s="10" t="str">
        <f>"3321"</f>
        <v>3321</v>
      </c>
      <c r="D538" s="3" t="str">
        <f>"3574660258882"</f>
        <v>3574660258882</v>
      </c>
      <c r="E538" s="3" t="str">
        <f>"COMPEED ΚΑΛΟΙ 10TMX ΑΝΑΜΕΣΑ ΔΑΚΤΥΛΑ"</f>
        <v>COMPEED ΚΑΛΟΙ 10TMX ΑΝΑΜΕΣΑ ΔΑΚΤΥΛΑ</v>
      </c>
      <c r="F538" s="19">
        <v>4.2300000000000004</v>
      </c>
      <c r="G538" s="5">
        <v>0.05</v>
      </c>
      <c r="H538" s="19">
        <f t="shared" si="33"/>
        <v>4.0185000000000004</v>
      </c>
      <c r="I538" s="3"/>
      <c r="J538" s="224"/>
    </row>
    <row r="539" spans="1:10" ht="15" customHeight="1" x14ac:dyDescent="0.25">
      <c r="A539" s="10">
        <v>3663555001938</v>
      </c>
      <c r="B539" s="39" t="str">
        <f t="shared" si="36"/>
        <v>ΒΙΑΝ Α.Ε</v>
      </c>
      <c r="C539" s="10" t="str">
        <f>"052917"</f>
        <v>052917</v>
      </c>
      <c r="D539" s="3" t="str">
        <f>"3663555001938"</f>
        <v>3663555001938</v>
      </c>
      <c r="E539" s="3" t="str">
        <f>"COMPEED ΚΟΤΣΙΑ MEDIUM 5 TEMAXIA"</f>
        <v>COMPEED ΚΟΤΣΙΑ MEDIUM 5 TEMAXIA</v>
      </c>
      <c r="F539" s="19">
        <v>4.0199999999999996</v>
      </c>
      <c r="G539" s="5">
        <v>0.05</v>
      </c>
      <c r="H539" s="19">
        <f t="shared" si="33"/>
        <v>3.8189999999999995</v>
      </c>
      <c r="I539" s="3"/>
      <c r="J539" s="224"/>
    </row>
    <row r="540" spans="1:10" ht="15" customHeight="1" x14ac:dyDescent="0.25">
      <c r="A540" s="10">
        <v>3663555001549</v>
      </c>
      <c r="B540" s="39" t="str">
        <f t="shared" si="36"/>
        <v>ΒΙΑΝ Α.Ε</v>
      </c>
      <c r="C540" s="10" t="str">
        <f>"052451"</f>
        <v>052451</v>
      </c>
      <c r="D540" s="3" t="str">
        <f>"3663555001549"</f>
        <v>3663555001549</v>
      </c>
      <c r="E540" s="3" t="str">
        <f>"COMPEED ΣΚΛΗΡΥΝΣΕΙΣ 2ΤΜΧ ΜΕΓΑΛΑ"</f>
        <v>COMPEED ΣΚΛΗΡΥΝΣΕΙΣ 2ΤΜΧ ΜΕΓΑΛΑ</v>
      </c>
      <c r="F540" s="19">
        <v>4.0199999999999996</v>
      </c>
      <c r="G540" s="5">
        <v>0.05</v>
      </c>
      <c r="H540" s="19">
        <f t="shared" si="33"/>
        <v>3.8189999999999995</v>
      </c>
      <c r="I540" s="3"/>
      <c r="J540" s="224"/>
    </row>
    <row r="541" spans="1:10" ht="15" customHeight="1" x14ac:dyDescent="0.25">
      <c r="A541" s="10">
        <v>3663555001945</v>
      </c>
      <c r="B541" s="39" t="str">
        <f t="shared" si="36"/>
        <v>ΒΙΑΝ Α.Ε</v>
      </c>
      <c r="C541" s="10" t="str">
        <f>"3689"</f>
        <v>3689</v>
      </c>
      <c r="D541" s="3" t="str">
        <f>"3663555001945"</f>
        <v>3663555001945</v>
      </c>
      <c r="E541" s="3" t="str">
        <f>"COMPEED ΣΚΛΗΡΥΝΣΕΙΣ MEDIUM 6 TEMAXIA"</f>
        <v>COMPEED ΣΚΛΗΡΥΝΣΕΙΣ MEDIUM 6 TEMAXIA</v>
      </c>
      <c r="F541" s="19">
        <v>4.0199999999999996</v>
      </c>
      <c r="G541" s="5">
        <v>0.05</v>
      </c>
      <c r="H541" s="19">
        <f t="shared" si="33"/>
        <v>3.8189999999999995</v>
      </c>
      <c r="I541" s="3"/>
      <c r="J541" s="224"/>
    </row>
    <row r="542" spans="1:10" ht="15" customHeight="1" x14ac:dyDescent="0.25">
      <c r="A542" s="10">
        <v>3663555002300</v>
      </c>
      <c r="B542" s="39" t="str">
        <f t="shared" si="36"/>
        <v>ΒΙΑΝ Α.Ε</v>
      </c>
      <c r="C542" s="10" t="str">
        <f>"042365"</f>
        <v>042365</v>
      </c>
      <c r="D542" s="3" t="str">
        <f>"3663555002300"</f>
        <v>3663555002300</v>
      </c>
      <c r="E542" s="3" t="str">
        <f>"COMPEED ΦΟΥΣΚ.ΠΕΛΜΑ 5 ΤΕΜ 55708673"</f>
        <v>COMPEED ΦΟΥΣΚ.ΠΕΛΜΑ 5 ΤΕΜ 55708673</v>
      </c>
      <c r="F542" s="19">
        <v>5.07</v>
      </c>
      <c r="G542" s="5">
        <v>0.05</v>
      </c>
      <c r="H542" s="19">
        <f t="shared" si="33"/>
        <v>4.8165000000000004</v>
      </c>
      <c r="I542" s="3"/>
      <c r="J542" s="224"/>
    </row>
    <row r="543" spans="1:10" ht="15" customHeight="1" x14ac:dyDescent="0.25">
      <c r="A543" s="10">
        <v>3663555001440</v>
      </c>
      <c r="B543" s="39" t="str">
        <f t="shared" si="36"/>
        <v>ΒΙΑΝ Α.Ε</v>
      </c>
      <c r="C543" s="10" t="str">
        <f>"053970"</f>
        <v>053970</v>
      </c>
      <c r="D543" s="3" t="str">
        <f>"3663555001440"</f>
        <v>3663555001440</v>
      </c>
      <c r="E543" s="3" t="str">
        <f>"COMPEED ΦΟΥΣΚΑΛΕΣ 6 ΤΕΜ ΜΙΚΡΑ"</f>
        <v>COMPEED ΦΟΥΣΚΑΛΕΣ 6 ΤΕΜ ΜΙΚΡΑ</v>
      </c>
      <c r="F543" s="19">
        <v>4.88</v>
      </c>
      <c r="G543" s="5">
        <v>0.05</v>
      </c>
      <c r="H543" s="19">
        <f t="shared" si="33"/>
        <v>4.6360000000000001</v>
      </c>
      <c r="I543" s="3"/>
      <c r="J543" s="224"/>
    </row>
    <row r="544" spans="1:10" ht="15" customHeight="1" x14ac:dyDescent="0.25">
      <c r="A544" s="10">
        <v>3663555002973</v>
      </c>
      <c r="B544" s="39" t="str">
        <f t="shared" si="36"/>
        <v>ΒΙΑΝ Α.Ε</v>
      </c>
      <c r="C544" s="10" t="str">
        <f>"53759"</f>
        <v>53759</v>
      </c>
      <c r="D544" s="3" t="str">
        <f>"3663555002973"</f>
        <v>3663555002973</v>
      </c>
      <c r="E544" s="3" t="str">
        <f>"COMPEED ΦΟΥΣΚΑΛΕΣ MEDIUM 10TEM"</f>
        <v>COMPEED ΦΟΥΣΚΑΛΕΣ MEDIUM 10TEM</v>
      </c>
      <c r="F544" s="19">
        <v>6.65</v>
      </c>
      <c r="G544" s="5">
        <v>0.05</v>
      </c>
      <c r="H544" s="19">
        <f t="shared" si="33"/>
        <v>6.3175000000000008</v>
      </c>
      <c r="I544" s="3"/>
      <c r="J544" s="224"/>
    </row>
    <row r="545" spans="1:10" ht="15" customHeight="1" x14ac:dyDescent="0.25">
      <c r="A545" s="10">
        <v>3663555001457</v>
      </c>
      <c r="B545" s="39" t="str">
        <f t="shared" si="36"/>
        <v>ΒΙΑΝ Α.Ε</v>
      </c>
      <c r="C545" s="10" t="str">
        <f>"050214"</f>
        <v>050214</v>
      </c>
      <c r="D545" s="3" t="str">
        <f>"3663555001457"</f>
        <v>3663555001457</v>
      </c>
      <c r="E545" s="3" t="str">
        <f>"COMPEED ΦΟΥΣΚΑΛΕΣ ΜΕΣΑΙΑ 5ΤΕΜ"</f>
        <v>COMPEED ΦΟΥΣΚΑΛΕΣ ΜΕΣΑΙΑ 5ΤΕΜ</v>
      </c>
      <c r="F545" s="19">
        <v>4.5199999999999996</v>
      </c>
      <c r="G545" s="5">
        <v>0.05</v>
      </c>
      <c r="H545" s="19">
        <f t="shared" si="33"/>
        <v>4.2939999999999996</v>
      </c>
      <c r="I545" s="3"/>
      <c r="J545" s="224"/>
    </row>
    <row r="546" spans="1:10" ht="15" customHeight="1" x14ac:dyDescent="0.25">
      <c r="A546" s="10">
        <v>3663555002386</v>
      </c>
      <c r="B546" s="39" t="str">
        <f t="shared" si="36"/>
        <v>ΒΙΑΝ Α.Ε</v>
      </c>
      <c r="C546" s="10" t="str">
        <f>"48259"</f>
        <v>48259</v>
      </c>
      <c r="D546" s="3" t="str">
        <f>"3663555002386"</f>
        <v>3663555002386</v>
      </c>
      <c r="E546" s="3" t="str">
        <f>"COMPEED ΦΟΥΣΚΑΛΕΣ ΜΕΣΑΙΑ EXTEME 5ΤΕΜ"</f>
        <v>COMPEED ΦΟΥΣΚΑΛΕΣ ΜΕΣΑΙΑ EXTEME 5ΤΕΜ</v>
      </c>
      <c r="F546" s="19">
        <v>5.07</v>
      </c>
      <c r="G546" s="5">
        <v>0.05</v>
      </c>
      <c r="H546" s="19">
        <f t="shared" si="33"/>
        <v>4.8165000000000004</v>
      </c>
      <c r="I546" s="3"/>
      <c r="J546" s="224"/>
    </row>
    <row r="547" spans="1:10" ht="15" customHeight="1" thickBot="1" x14ac:dyDescent="0.3">
      <c r="A547" s="11">
        <v>3663555001679</v>
      </c>
      <c r="B547" s="130" t="str">
        <f t="shared" si="36"/>
        <v>ΒΙΑΝ Α.Ε</v>
      </c>
      <c r="C547" s="11" t="str">
        <f>"369548"</f>
        <v>369548</v>
      </c>
      <c r="D547" s="12" t="str">
        <f>"3663555001679"</f>
        <v>3663555001679</v>
      </c>
      <c r="E547" s="12" t="str">
        <f>"COMPEED ΦΟΥΣΚΑΛΕΣ ΣΤΑ ΔΑΧΤΥΛΑ 8 ΤΕΜ"</f>
        <v>COMPEED ΦΟΥΣΚΑΛΕΣ ΣΤΑ ΔΑΧΤΥΛΑ 8 ΤΕΜ</v>
      </c>
      <c r="F547" s="19">
        <v>4.5199999999999996</v>
      </c>
      <c r="G547" s="14">
        <v>0.05</v>
      </c>
      <c r="H547" s="28">
        <f t="shared" si="33"/>
        <v>4.2939999999999996</v>
      </c>
      <c r="I547" s="12"/>
      <c r="J547" s="220"/>
    </row>
    <row r="548" spans="1:10" ht="15" customHeight="1" x14ac:dyDescent="0.25">
      <c r="A548" s="21">
        <v>3574660241433</v>
      </c>
      <c r="B548" s="131" t="str">
        <f t="shared" ref="B548:B553" si="37">"JOHNSON &amp; JOHNSON ΕΛΛΑΣ Α.Ε.E"</f>
        <v>JOHNSON &amp; JOHNSON ΕΛΛΑΣ Α.Ε.E</v>
      </c>
      <c r="C548" s="57" t="str">
        <f>"10242"</f>
        <v>10242</v>
      </c>
      <c r="D548" s="41" t="str">
        <f>"3574660241433"</f>
        <v>3574660241433</v>
      </c>
      <c r="E548" s="41" t="str">
        <f>"OB MINI x 8 (PROCOMFORT)"</f>
        <v>OB MINI x 8 (PROCOMFORT)</v>
      </c>
      <c r="F548" s="19">
        <v>1.65</v>
      </c>
      <c r="G548" s="43">
        <v>0.3</v>
      </c>
      <c r="H548" s="42">
        <f t="shared" ref="H548:H611" si="38">F548-F548*G548</f>
        <v>1.155</v>
      </c>
      <c r="I548" s="41"/>
      <c r="J548" s="218" t="s">
        <v>79</v>
      </c>
    </row>
    <row r="549" spans="1:10" ht="15" customHeight="1" x14ac:dyDescent="0.25">
      <c r="A549" s="25">
        <v>3574660244168</v>
      </c>
      <c r="B549" s="40" t="str">
        <f t="shared" si="37"/>
        <v>JOHNSON &amp; JOHNSON ΕΛΛΑΣ Α.Ε.E</v>
      </c>
      <c r="C549" s="25" t="str">
        <f>"26125"</f>
        <v>26125</v>
      </c>
      <c r="D549" s="18" t="str">
        <f>"3574660244168"</f>
        <v>3574660244168</v>
      </c>
      <c r="E549" s="18" t="str">
        <f>"OB MINI x16 (PROCOMFORT)"</f>
        <v>OB MINI x16 (PROCOMFORT)</v>
      </c>
      <c r="F549" s="19">
        <v>2.5</v>
      </c>
      <c r="G549" s="20">
        <v>0.3</v>
      </c>
      <c r="H549" s="19">
        <f t="shared" si="38"/>
        <v>1.75</v>
      </c>
      <c r="I549" s="18"/>
      <c r="J549" s="218"/>
    </row>
    <row r="550" spans="1:10" ht="15" customHeight="1" x14ac:dyDescent="0.25">
      <c r="A550" s="25">
        <v>3574660234480</v>
      </c>
      <c r="B550" s="40" t="str">
        <f t="shared" si="37"/>
        <v>JOHNSON &amp; JOHNSON ΕΛΛΑΣ Α.Ε.E</v>
      </c>
      <c r="C550" s="25" t="str">
        <f>"10241"</f>
        <v>10241</v>
      </c>
      <c r="D550" s="18" t="str">
        <f>"3574660234480"</f>
        <v>3574660234480</v>
      </c>
      <c r="E550" s="18" t="str">
        <f>"OB NORMAL x 8"</f>
        <v>OB NORMAL x 8</v>
      </c>
      <c r="F550" s="19">
        <v>2.0099999999999998</v>
      </c>
      <c r="G550" s="20">
        <v>0.3</v>
      </c>
      <c r="H550" s="19">
        <f t="shared" si="38"/>
        <v>1.407</v>
      </c>
      <c r="I550" s="18"/>
      <c r="J550" s="218"/>
    </row>
    <row r="551" spans="1:10" ht="15" customHeight="1" x14ac:dyDescent="0.25">
      <c r="A551" s="25">
        <v>3574660234428</v>
      </c>
      <c r="B551" s="40" t="str">
        <f t="shared" si="37"/>
        <v>JOHNSON &amp; JOHNSON ΕΛΛΑΣ Α.Ε.E</v>
      </c>
      <c r="C551" s="25" t="str">
        <f>"25879"</f>
        <v>25879</v>
      </c>
      <c r="D551" s="18" t="str">
        <f>"3574660234428"</f>
        <v>3574660234428</v>
      </c>
      <c r="E551" s="18" t="str">
        <f>"OB NORMAL x16 (PROCOMFORT)"</f>
        <v>OB NORMAL x16 (PROCOMFORT)</v>
      </c>
      <c r="F551" s="19">
        <v>3.34</v>
      </c>
      <c r="G551" s="20">
        <v>0.3</v>
      </c>
      <c r="H551" s="19">
        <f t="shared" si="38"/>
        <v>2.3380000000000001</v>
      </c>
      <c r="I551" s="18"/>
      <c r="J551" s="218"/>
    </row>
    <row r="552" spans="1:10" ht="15" customHeight="1" x14ac:dyDescent="0.25">
      <c r="A552" s="25">
        <v>3574661476902</v>
      </c>
      <c r="B552" s="40" t="str">
        <f t="shared" si="37"/>
        <v>JOHNSON &amp; JOHNSON ΕΛΛΑΣ Α.Ε.E</v>
      </c>
      <c r="C552" s="25" t="str">
        <f>"10240"</f>
        <v>10240</v>
      </c>
      <c r="D552" s="18" t="str">
        <f>"3574661476902"</f>
        <v>3574661476902</v>
      </c>
      <c r="E552" s="18" t="str">
        <f>"OB SUPER x 8 (PROCOMFORT)"</f>
        <v>OB SUPER x 8 (PROCOMFORT)</v>
      </c>
      <c r="F552" s="19">
        <v>2.11</v>
      </c>
      <c r="G552" s="20">
        <v>0.3</v>
      </c>
      <c r="H552" s="19">
        <f t="shared" si="38"/>
        <v>1.4769999999999999</v>
      </c>
      <c r="I552" s="18"/>
      <c r="J552" s="218"/>
    </row>
    <row r="553" spans="1:10" ht="15" customHeight="1" thickBot="1" x14ac:dyDescent="0.3">
      <c r="A553" s="26">
        <v>3574660234541</v>
      </c>
      <c r="B553" s="132" t="str">
        <f t="shared" si="37"/>
        <v>JOHNSON &amp; JOHNSON ΕΛΛΑΣ Α.Ε.E</v>
      </c>
      <c r="C553" s="30" t="str">
        <f>"26124"</f>
        <v>26124</v>
      </c>
      <c r="D553" s="31" t="str">
        <f>"3574660234541"</f>
        <v>3574660234541</v>
      </c>
      <c r="E553" s="31" t="str">
        <f>"OB SUPER x16 (PROCOMFORT)"</f>
        <v>OB SUPER x16 (PROCOMFORT)</v>
      </c>
      <c r="F553" s="19">
        <v>3.34</v>
      </c>
      <c r="G553" s="33">
        <v>0.3</v>
      </c>
      <c r="H553" s="32">
        <f t="shared" si="38"/>
        <v>2.3380000000000001</v>
      </c>
      <c r="I553" s="31"/>
      <c r="J553" s="218"/>
    </row>
    <row r="554" spans="1:10" x14ac:dyDescent="0.25">
      <c r="A554" s="6">
        <v>8001841300481</v>
      </c>
      <c r="B554" s="129" t="str">
        <f>"ΠΡΟΚΤΕΡ &amp; ΓΚΑΜΠΛ ΕΛΛΑΣ Μ.Ε.Π.Ε."</f>
        <v>ΠΡΟΚΤΕΡ &amp; ΓΚΑΜΠΛ ΕΛΛΑΣ Μ.Ε.Π.Ε.</v>
      </c>
      <c r="C554" s="6" t="str">
        <f>"54346"</f>
        <v>54346</v>
      </c>
      <c r="D554" s="7" t="str">
        <f>"8001841300481"</f>
        <v>8001841300481</v>
      </c>
      <c r="E554" s="7" t="str">
        <f>"TAMPAX COMPACT PEARL REGULAR 16 ΤΕΜ"</f>
        <v>TAMPAX COMPACT PEARL REGULAR 16 ΤΕΜ</v>
      </c>
      <c r="F554" s="19">
        <v>2.62</v>
      </c>
      <c r="G554" s="9">
        <v>0.1</v>
      </c>
      <c r="H554" s="23">
        <f t="shared" si="38"/>
        <v>2.3580000000000001</v>
      </c>
      <c r="I554" s="7"/>
      <c r="J554" s="219" t="s">
        <v>49</v>
      </c>
    </row>
    <row r="555" spans="1:10" x14ac:dyDescent="0.25">
      <c r="A555" s="10">
        <v>8001841300542</v>
      </c>
      <c r="B555" s="39" t="str">
        <f>"ΠΡΟΚΤΕΡ &amp; ΓΚΑΜΠΛ ΕΛΛΑΣ Μ.Ε.Π.Ε."</f>
        <v>ΠΡΟΚΤΕΡ &amp; ΓΚΑΜΠΛ ΕΛΛΑΣ Μ.Ε.Π.Ε.</v>
      </c>
      <c r="C555" s="10" t="str">
        <f>"40619"</f>
        <v>40619</v>
      </c>
      <c r="D555" s="3" t="str">
        <f>"8001841300542"</f>
        <v>8001841300542</v>
      </c>
      <c r="E555" s="3" t="str">
        <f>"TAMPAX COMPACT PEARL SUPER 16 TEM"</f>
        <v>TAMPAX COMPACT PEARL SUPER 16 TEM</v>
      </c>
      <c r="F555" s="19">
        <v>2.62</v>
      </c>
      <c r="G555" s="5">
        <v>0.1</v>
      </c>
      <c r="H555" s="19">
        <f t="shared" si="38"/>
        <v>2.3580000000000001</v>
      </c>
      <c r="I555" s="3"/>
      <c r="J555" s="224"/>
    </row>
    <row r="556" spans="1:10" x14ac:dyDescent="0.25">
      <c r="A556" s="10">
        <v>4015400219507</v>
      </c>
      <c r="B556" s="39" t="str">
        <f>"ΠΡΟΚΤΕΡ &amp; ΓΚΑΜΠΛ ΕΛΛΑΣ Μ.Ε.Π.Ε."</f>
        <v>ΠΡΟΚΤΕΡ &amp; ΓΚΑΜΠΛ ΕΛΛΑΣ Μ.Ε.Π.Ε.</v>
      </c>
      <c r="C556" s="10" t="str">
        <f>"54206"</f>
        <v>54206</v>
      </c>
      <c r="D556" s="3" t="str">
        <f>"4015400219507"</f>
        <v>4015400219507</v>
      </c>
      <c r="E556" s="3" t="str">
        <f>"TAMPAX COMPACT REGULAR x16 TEM"</f>
        <v>TAMPAX COMPACT REGULAR x16 TEM</v>
      </c>
      <c r="F556" s="19">
        <v>2.2799999999999998</v>
      </c>
      <c r="G556" s="5">
        <v>0.1</v>
      </c>
      <c r="H556" s="19">
        <f t="shared" si="38"/>
        <v>2.0519999999999996</v>
      </c>
      <c r="I556" s="3"/>
      <c r="J556" s="224"/>
    </row>
    <row r="557" spans="1:10" x14ac:dyDescent="0.25">
      <c r="A557" s="10">
        <v>4015400219620</v>
      </c>
      <c r="B557" s="39" t="str">
        <f>"ΠΡΟΚΤΕΡ &amp; ΓΚΑΜΠΛ ΕΛΛΑΣ Μ.Ε.Π.Ε."</f>
        <v>ΠΡΟΚΤΕΡ &amp; ΓΚΑΜΠΛ ΕΛΛΑΣ Μ.Ε.Π.Ε.</v>
      </c>
      <c r="C557" s="10" t="str">
        <f>"109145"</f>
        <v>109145</v>
      </c>
      <c r="D557" s="3" t="str">
        <f>"4015400219620"</f>
        <v>4015400219620</v>
      </c>
      <c r="E557" s="3" t="str">
        <f>"TAMPAX COMPACT SUPER PLUS 16 TMX"</f>
        <v>TAMPAX COMPACT SUPER PLUS 16 TMX</v>
      </c>
      <c r="F557" s="19">
        <v>2.2799999999999998</v>
      </c>
      <c r="G557" s="5">
        <v>0.1</v>
      </c>
      <c r="H557" s="19">
        <f t="shared" si="38"/>
        <v>2.0519999999999996</v>
      </c>
      <c r="I557" s="3"/>
      <c r="J557" s="224"/>
    </row>
    <row r="558" spans="1:10" ht="15.75" thickBot="1" x14ac:dyDescent="0.3">
      <c r="A558" s="11">
        <v>4015400219712</v>
      </c>
      <c r="B558" s="130" t="str">
        <f>"ΠΡΟΚΤΕΡ &amp; ΓΚΑΜΠΛ ΕΛΛΑΣ Μ.Ε.Π.Ε."</f>
        <v>ΠΡΟΚΤΕΡ &amp; ΓΚΑΜΠΛ ΕΛΛΑΣ Μ.Ε.Π.Ε.</v>
      </c>
      <c r="C558" s="11" t="str">
        <f>"44279"</f>
        <v>44279</v>
      </c>
      <c r="D558" s="12" t="str">
        <f>"4015400219712"</f>
        <v>4015400219712</v>
      </c>
      <c r="E558" s="12" t="str">
        <f>"TAMPAX COMPACT SUPER x16"</f>
        <v>TAMPAX COMPACT SUPER x16</v>
      </c>
      <c r="F558" s="19">
        <v>2.2799999999999998</v>
      </c>
      <c r="G558" s="14">
        <v>0.1</v>
      </c>
      <c r="H558" s="28">
        <f t="shared" si="38"/>
        <v>2.0519999999999996</v>
      </c>
      <c r="I558" s="12"/>
      <c r="J558" s="220"/>
    </row>
    <row r="559" spans="1:10" ht="15" customHeight="1" x14ac:dyDescent="0.25">
      <c r="A559" s="21">
        <v>5038483194669</v>
      </c>
      <c r="B559" s="131" t="str">
        <f t="shared" ref="B559:B583" si="39">"RECKITT  BENCKISER RB"</f>
        <v>RECKITT  BENCKISER RB</v>
      </c>
      <c r="C559" s="57" t="str">
        <f>"25840"</f>
        <v>25840</v>
      </c>
      <c r="D559" s="41" t="str">
        <f>"5038483194669"</f>
        <v>5038483194669</v>
      </c>
      <c r="E559" s="41" t="str">
        <f>"DUREX CLASSIC 3ΤΕΜ"</f>
        <v>DUREX CLASSIC 3ΤΕΜ</v>
      </c>
      <c r="F559" s="19">
        <v>2.86</v>
      </c>
      <c r="G559" s="43">
        <v>0.25</v>
      </c>
      <c r="H559" s="42">
        <f t="shared" si="38"/>
        <v>2.145</v>
      </c>
      <c r="I559" s="41"/>
      <c r="J559" s="223" t="s">
        <v>15</v>
      </c>
    </row>
    <row r="560" spans="1:10" ht="15" customHeight="1" x14ac:dyDescent="0.25">
      <c r="A560" s="25">
        <v>5010232962811</v>
      </c>
      <c r="B560" s="40" t="str">
        <f t="shared" si="39"/>
        <v>RECKITT  BENCKISER RB</v>
      </c>
      <c r="C560" s="25" t="str">
        <f>"35520"</f>
        <v>35520</v>
      </c>
      <c r="D560" s="18" t="str">
        <f>"5010232962811"</f>
        <v>5010232962811</v>
      </c>
      <c r="E560" s="18" t="str">
        <f>"DUREX JEANS 3ΤΕΜ"</f>
        <v>DUREX JEANS 3ΤΕΜ</v>
      </c>
      <c r="F560" s="19">
        <v>2.86</v>
      </c>
      <c r="G560" s="20">
        <v>0.25</v>
      </c>
      <c r="H560" s="19">
        <f t="shared" si="38"/>
        <v>2.145</v>
      </c>
      <c r="I560" s="18"/>
      <c r="J560" s="223"/>
    </row>
    <row r="561" spans="1:10" ht="15" customHeight="1" x14ac:dyDescent="0.25">
      <c r="A561" s="25">
        <v>5038483444702</v>
      </c>
      <c r="B561" s="40" t="str">
        <f t="shared" si="39"/>
        <v>RECKITT  BENCKISER RB</v>
      </c>
      <c r="C561" s="25" t="str">
        <f>"43485"</f>
        <v>43485</v>
      </c>
      <c r="D561" s="18" t="str">
        <f>"5038483444702"</f>
        <v>5038483444702</v>
      </c>
      <c r="E561" s="18" t="str">
        <f>"DUREX PLEASUREMAX 3ΤΕΜ"</f>
        <v>DUREX PLEASUREMAX 3ΤΕΜ</v>
      </c>
      <c r="F561" s="19">
        <v>2.86</v>
      </c>
      <c r="G561" s="20">
        <v>0.25</v>
      </c>
      <c r="H561" s="19">
        <f t="shared" si="38"/>
        <v>2.145</v>
      </c>
      <c r="I561" s="18"/>
      <c r="J561" s="223"/>
    </row>
    <row r="562" spans="1:10" ht="15" customHeight="1" thickBot="1" x14ac:dyDescent="0.3">
      <c r="A562" s="26">
        <v>5038483685068</v>
      </c>
      <c r="B562" s="132" t="str">
        <f t="shared" si="39"/>
        <v>RECKITT  BENCKISER RB</v>
      </c>
      <c r="C562" s="30" t="str">
        <f>"25841"</f>
        <v>25841</v>
      </c>
      <c r="D562" s="31" t="str">
        <f>"5038483685068"</f>
        <v>5038483685068</v>
      </c>
      <c r="E562" s="31" t="str">
        <f>"DUREX SENSITIVE 3ΤΕΜ"</f>
        <v>DUREX SENSITIVE 3ΤΕΜ</v>
      </c>
      <c r="F562" s="19">
        <v>2.86</v>
      </c>
      <c r="G562" s="33">
        <v>0.25</v>
      </c>
      <c r="H562" s="32">
        <f t="shared" si="38"/>
        <v>2.145</v>
      </c>
      <c r="I562" s="31"/>
      <c r="J562" s="223"/>
    </row>
    <row r="563" spans="1:10" ht="15" customHeight="1" x14ac:dyDescent="0.25">
      <c r="A563" s="6">
        <v>5208070000899</v>
      </c>
      <c r="B563" s="129" t="str">
        <f t="shared" si="39"/>
        <v>RECKITT  BENCKISER RB</v>
      </c>
      <c r="C563" s="6" t="str">
        <f>"91105"</f>
        <v>91105</v>
      </c>
      <c r="D563" s="7" t="str">
        <f>"5208070000899"</f>
        <v>5208070000899</v>
      </c>
      <c r="E563" s="7" t="str">
        <f>"DUREX CLASSIC 6ΤΕΜ"</f>
        <v>DUREX CLASSIC 6ΤΕΜ</v>
      </c>
      <c r="F563" s="19">
        <v>4.8499999999999996</v>
      </c>
      <c r="G563" s="9">
        <v>0.06</v>
      </c>
      <c r="H563" s="23">
        <f t="shared" si="38"/>
        <v>4.5589999999999993</v>
      </c>
      <c r="I563" s="7"/>
      <c r="J563" s="219" t="s">
        <v>16</v>
      </c>
    </row>
    <row r="564" spans="1:10" ht="15" customHeight="1" x14ac:dyDescent="0.25">
      <c r="A564" s="10">
        <v>5038483444979</v>
      </c>
      <c r="B564" s="39" t="str">
        <f t="shared" si="39"/>
        <v>RECKITT  BENCKISER RB</v>
      </c>
      <c r="C564" s="10" t="str">
        <f>"054223"</f>
        <v>054223</v>
      </c>
      <c r="D564" s="3" t="str">
        <f>"5038483444979"</f>
        <v>5038483444979</v>
      </c>
      <c r="E564" s="3" t="str">
        <f>"DUREX COMFORT XL 6ΤΕΜ"</f>
        <v>DUREX COMFORT XL 6ΤΕΜ</v>
      </c>
      <c r="F564" s="19">
        <v>5.52</v>
      </c>
      <c r="G564" s="5">
        <v>0.06</v>
      </c>
      <c r="H564" s="19">
        <f t="shared" si="38"/>
        <v>5.1887999999999996</v>
      </c>
      <c r="I564" s="3"/>
      <c r="J564" s="224"/>
    </row>
    <row r="565" spans="1:10" ht="15" customHeight="1" x14ac:dyDescent="0.25">
      <c r="A565" s="10">
        <v>5038483177723</v>
      </c>
      <c r="B565" s="39" t="str">
        <f t="shared" si="39"/>
        <v>RECKITT  BENCKISER RB</v>
      </c>
      <c r="C565" s="10" t="str">
        <f>"053894"</f>
        <v>053894</v>
      </c>
      <c r="D565" s="3" t="str">
        <f>"5038483177723"</f>
        <v>5038483177723</v>
      </c>
      <c r="E565" s="3" t="str">
        <f>"DUREX EXTRA SAFE 6ΤΕΜ"</f>
        <v>DUREX EXTRA SAFE 6ΤΕΜ</v>
      </c>
      <c r="F565" s="19">
        <v>4.8499999999999996</v>
      </c>
      <c r="G565" s="5">
        <v>0.06</v>
      </c>
      <c r="H565" s="19">
        <f t="shared" si="38"/>
        <v>4.5589999999999993</v>
      </c>
      <c r="I565" s="3"/>
      <c r="J565" s="224"/>
    </row>
    <row r="566" spans="1:10" ht="15" customHeight="1" x14ac:dyDescent="0.25">
      <c r="A566" s="10">
        <v>5052197003260</v>
      </c>
      <c r="B566" s="39" t="str">
        <f t="shared" si="39"/>
        <v>RECKITT  BENCKISER RB</v>
      </c>
      <c r="C566" s="10" t="str">
        <f>"26263"</f>
        <v>26263</v>
      </c>
      <c r="D566" s="3" t="str">
        <f>"5052197003260"</f>
        <v>5052197003260</v>
      </c>
      <c r="E566" s="3" t="str">
        <f>"DUREX INTENSE PERFORMAX 6ΤΕΜ"</f>
        <v>DUREX INTENSE PERFORMAX 6ΤΕΜ</v>
      </c>
      <c r="F566" s="19">
        <v>6.2</v>
      </c>
      <c r="G566" s="5">
        <v>0.06</v>
      </c>
      <c r="H566" s="19">
        <f t="shared" si="38"/>
        <v>5.8280000000000003</v>
      </c>
      <c r="I566" s="3"/>
      <c r="J566" s="224"/>
    </row>
    <row r="567" spans="1:10" ht="15" customHeight="1" x14ac:dyDescent="0.25">
      <c r="A567" s="10">
        <v>5038483445129</v>
      </c>
      <c r="B567" s="39" t="str">
        <f t="shared" si="39"/>
        <v>RECKITT  BENCKISER RB</v>
      </c>
      <c r="C567" s="10" t="str">
        <f>"0539510"</f>
        <v>0539510</v>
      </c>
      <c r="D567" s="3" t="str">
        <f>"5038483445129"</f>
        <v>5038483445129</v>
      </c>
      <c r="E567" s="3" t="str">
        <f>"DUREX PLEASUREMAX 6ΤΕΜ"</f>
        <v>DUREX PLEASUREMAX 6ΤΕΜ</v>
      </c>
      <c r="F567" s="19">
        <v>5.52</v>
      </c>
      <c r="G567" s="5">
        <v>0.06</v>
      </c>
      <c r="H567" s="19">
        <f t="shared" si="38"/>
        <v>5.1887999999999996</v>
      </c>
      <c r="I567" s="3"/>
      <c r="J567" s="224"/>
    </row>
    <row r="568" spans="1:10" ht="15" customHeight="1" x14ac:dyDescent="0.25">
      <c r="A568" s="10">
        <v>5052197024180</v>
      </c>
      <c r="B568" s="39" t="str">
        <f t="shared" si="39"/>
        <v>RECKITT  BENCKISER RB</v>
      </c>
      <c r="C568" s="10" t="str">
        <f>"0024"</f>
        <v>0024</v>
      </c>
      <c r="D568" s="3" t="str">
        <f>"5052197024180"</f>
        <v>5052197024180</v>
      </c>
      <c r="E568" s="3" t="str">
        <f>"DUREX REAL FEEL 6ΤΕΜ"</f>
        <v>DUREX REAL FEEL 6ΤΕΜ</v>
      </c>
      <c r="F568" s="19">
        <v>6.87</v>
      </c>
      <c r="G568" s="5">
        <v>0.06</v>
      </c>
      <c r="H568" s="19">
        <f t="shared" si="38"/>
        <v>6.4577999999999998</v>
      </c>
      <c r="I568" s="3"/>
      <c r="J568" s="224"/>
    </row>
    <row r="569" spans="1:10" ht="15" customHeight="1" thickBot="1" x14ac:dyDescent="0.3">
      <c r="A569" s="11">
        <v>5052197003321</v>
      </c>
      <c r="B569" s="130" t="str">
        <f t="shared" si="39"/>
        <v>RECKITT  BENCKISER RB</v>
      </c>
      <c r="C569" s="11" t="str">
        <f>"054149"</f>
        <v>054149</v>
      </c>
      <c r="D569" s="12" t="str">
        <f>"5052197003321"</f>
        <v>5052197003321</v>
      </c>
      <c r="E569" s="12" t="str">
        <f>"DUREX TOTAL CONTACT 6ΤΕΜ"</f>
        <v>DUREX TOTAL CONTACT 6ΤΕΜ</v>
      </c>
      <c r="F569" s="19">
        <v>5.52</v>
      </c>
      <c r="G569" s="14">
        <v>0.06</v>
      </c>
      <c r="H569" s="28">
        <f t="shared" si="38"/>
        <v>5.1887999999999996</v>
      </c>
      <c r="I569" s="12"/>
      <c r="J569" s="220"/>
    </row>
    <row r="570" spans="1:10" ht="15" customHeight="1" x14ac:dyDescent="0.25">
      <c r="A570" s="21">
        <v>5010232957084</v>
      </c>
      <c r="B570" s="131" t="str">
        <f t="shared" si="39"/>
        <v>RECKITT  BENCKISER RB</v>
      </c>
      <c r="C570" s="57" t="str">
        <f>"37019"</f>
        <v>37019</v>
      </c>
      <c r="D570" s="41" t="str">
        <f>"5010232957084"</f>
        <v>5010232957084</v>
      </c>
      <c r="E570" s="41" t="str">
        <f>"DUREX CLASSIC 12ΤΕΜ"</f>
        <v>DUREX CLASSIC 12ΤΕΜ</v>
      </c>
      <c r="F570" s="19">
        <v>7.2</v>
      </c>
      <c r="G570" s="43">
        <v>0.06</v>
      </c>
      <c r="H570" s="42">
        <f t="shared" si="38"/>
        <v>6.7679999999999998</v>
      </c>
      <c r="I570" s="41"/>
      <c r="J570" s="218" t="s">
        <v>16</v>
      </c>
    </row>
    <row r="571" spans="1:10" ht="15" customHeight="1" x14ac:dyDescent="0.25">
      <c r="A571" s="25">
        <v>5052197003239</v>
      </c>
      <c r="B571" s="40" t="str">
        <f t="shared" si="39"/>
        <v>RECKITT  BENCKISER RB</v>
      </c>
      <c r="C571" s="25" t="str">
        <f>"37361"</f>
        <v>37361</v>
      </c>
      <c r="D571" s="18" t="str">
        <f>"5052197003239"</f>
        <v>5052197003239</v>
      </c>
      <c r="E571" s="18" t="str">
        <f>"DUREX INTENSE PERFORMAX 12ΤΕΜ"</f>
        <v>DUREX INTENSE PERFORMAX 12ΤΕΜ</v>
      </c>
      <c r="F571" s="19">
        <v>8.76</v>
      </c>
      <c r="G571" s="20">
        <v>0.06</v>
      </c>
      <c r="H571" s="19">
        <f t="shared" si="38"/>
        <v>8.2343999999999991</v>
      </c>
      <c r="I571" s="18"/>
      <c r="J571" s="218"/>
    </row>
    <row r="572" spans="1:10" ht="15" customHeight="1" x14ac:dyDescent="0.25">
      <c r="A572" s="25">
        <v>8056860820083</v>
      </c>
      <c r="B572" s="40" t="str">
        <f t="shared" si="39"/>
        <v>RECKITT  BENCKISER RB</v>
      </c>
      <c r="C572" s="25" t="str">
        <f>"79145"</f>
        <v>79145</v>
      </c>
      <c r="D572" s="18" t="str">
        <f>"8056860820083"</f>
        <v>8056860820083</v>
      </c>
      <c r="E572" s="18" t="str">
        <f>"DUREX INVISIBLE 12 ΤΕΜ"</f>
        <v>DUREX INVISIBLE 12 ΤΕΜ</v>
      </c>
      <c r="F572" s="19">
        <v>9.43</v>
      </c>
      <c r="G572" s="20">
        <v>0.06</v>
      </c>
      <c r="H572" s="19">
        <f t="shared" si="38"/>
        <v>8.8642000000000003</v>
      </c>
      <c r="I572" s="18"/>
      <c r="J572" s="218"/>
    </row>
    <row r="573" spans="1:10" ht="15" customHeight="1" x14ac:dyDescent="0.25">
      <c r="A573" s="25">
        <v>5201347173005</v>
      </c>
      <c r="B573" s="40" t="str">
        <f t="shared" si="39"/>
        <v>RECKITT  BENCKISER RB</v>
      </c>
      <c r="C573" s="25" t="s">
        <v>200</v>
      </c>
      <c r="D573" s="18" t="s">
        <v>201</v>
      </c>
      <c r="E573" s="18" t="s">
        <v>202</v>
      </c>
      <c r="F573" s="19">
        <v>9.43</v>
      </c>
      <c r="G573" s="20">
        <v>0.06</v>
      </c>
      <c r="H573" s="19">
        <f t="shared" si="38"/>
        <v>8.8642000000000003</v>
      </c>
      <c r="I573" s="18"/>
      <c r="J573" s="218"/>
    </row>
    <row r="574" spans="1:10" ht="15" customHeight="1" x14ac:dyDescent="0.25">
      <c r="A574" s="25">
        <v>5038483444733</v>
      </c>
      <c r="B574" s="40" t="str">
        <f t="shared" si="39"/>
        <v>RECKITT  BENCKISER RB</v>
      </c>
      <c r="C574" s="25" t="str">
        <f>"37359"</f>
        <v>37359</v>
      </c>
      <c r="D574" s="18" t="str">
        <f>"5038483444733"</f>
        <v>5038483444733</v>
      </c>
      <c r="E574" s="18" t="str">
        <f>"DUREX SENSITIVE 12ΤΕΜ"</f>
        <v>DUREX SENSITIVE 12ΤΕΜ</v>
      </c>
      <c r="F574" s="19">
        <v>8.09</v>
      </c>
      <c r="G574" s="20">
        <v>0.06</v>
      </c>
      <c r="H574" s="19">
        <f t="shared" si="38"/>
        <v>7.6045999999999996</v>
      </c>
      <c r="I574" s="18"/>
      <c r="J574" s="218"/>
    </row>
    <row r="575" spans="1:10" ht="15" customHeight="1" x14ac:dyDescent="0.25">
      <c r="A575" s="25">
        <v>5038483444528</v>
      </c>
      <c r="B575" s="40" t="str">
        <f t="shared" si="39"/>
        <v>RECKITT  BENCKISER RB</v>
      </c>
      <c r="C575" s="25" t="str">
        <f>"37360"</f>
        <v>37360</v>
      </c>
      <c r="D575" s="18" t="str">
        <f>"5038483444528"</f>
        <v>5038483444528</v>
      </c>
      <c r="E575" s="18" t="str">
        <f>"DUREX TOTAL CONTACT 12ΤΕΜ"</f>
        <v>DUREX TOTAL CONTACT 12ΤΕΜ</v>
      </c>
      <c r="F575" s="19">
        <v>8.09</v>
      </c>
      <c r="G575" s="20">
        <v>0.06</v>
      </c>
      <c r="H575" s="19">
        <f t="shared" si="38"/>
        <v>7.6045999999999996</v>
      </c>
      <c r="I575" s="18"/>
      <c r="J575" s="218"/>
    </row>
    <row r="576" spans="1:10" ht="15" customHeight="1" thickBot="1" x14ac:dyDescent="0.3">
      <c r="A576" s="26">
        <v>4002448155072</v>
      </c>
      <c r="B576" s="132" t="str">
        <f t="shared" si="39"/>
        <v>RECKITT  BENCKISER RB</v>
      </c>
      <c r="C576" s="30" t="str">
        <f>"114626"</f>
        <v>114626</v>
      </c>
      <c r="D576" s="31" t="str">
        <f>"4002448155072"</f>
        <v>4002448155072</v>
      </c>
      <c r="E576" s="31" t="str">
        <f>"DUREX SURPRISE MIX x22TMX"</f>
        <v>DUREX SURPRISE MIX x22TMX</v>
      </c>
      <c r="F576" s="19">
        <v>13.35</v>
      </c>
      <c r="G576" s="33">
        <v>0.06</v>
      </c>
      <c r="H576" s="32">
        <f t="shared" si="38"/>
        <v>12.548999999999999</v>
      </c>
      <c r="I576" s="31"/>
      <c r="J576" s="218"/>
    </row>
    <row r="577" spans="1:10" ht="15" customHeight="1" x14ac:dyDescent="0.25">
      <c r="A577" s="6">
        <v>8056860820144</v>
      </c>
      <c r="B577" s="129" t="str">
        <f t="shared" si="39"/>
        <v>RECKITT  BENCKISER RB</v>
      </c>
      <c r="C577" s="6" t="str">
        <f>"77366"</f>
        <v>77366</v>
      </c>
      <c r="D577" s="7" t="str">
        <f>"8056860820144"</f>
        <v>8056860820144</v>
      </c>
      <c r="E577" s="7" t="str">
        <f>"DUREX PERFECT CONNECTION 10TEM"</f>
        <v>DUREX PERFECT CONNECTION 10TEM</v>
      </c>
      <c r="F577" s="19">
        <v>8.76</v>
      </c>
      <c r="G577" s="9">
        <v>0.06</v>
      </c>
      <c r="H577" s="23">
        <f t="shared" si="38"/>
        <v>8.2343999999999991</v>
      </c>
      <c r="I577" s="7"/>
      <c r="J577" s="219" t="s">
        <v>16</v>
      </c>
    </row>
    <row r="578" spans="1:10" ht="15" customHeight="1" x14ac:dyDescent="0.25">
      <c r="A578" s="10">
        <v>5208070000882</v>
      </c>
      <c r="B578" s="39" t="str">
        <f t="shared" si="39"/>
        <v>RECKITT  BENCKISER RB</v>
      </c>
      <c r="C578" s="10" t="str">
        <f>"77367"</f>
        <v>77367</v>
      </c>
      <c r="D578" s="3" t="str">
        <f>"5208070000882"</f>
        <v>5208070000882</v>
      </c>
      <c r="E578" s="3" t="str">
        <f>"DUREX PERFECT CONNECTION 50ML"</f>
        <v>DUREX PERFECT CONNECTION 50ML</v>
      </c>
      <c r="F578" s="19">
        <v>6.42</v>
      </c>
      <c r="G578" s="5">
        <v>0.06</v>
      </c>
      <c r="H578" s="19">
        <f t="shared" si="38"/>
        <v>6.0347999999999997</v>
      </c>
      <c r="I578" s="3"/>
      <c r="J578" s="224"/>
    </row>
    <row r="579" spans="1:10" ht="15" customHeight="1" x14ac:dyDescent="0.25">
      <c r="A579" s="10">
        <v>5208070000875</v>
      </c>
      <c r="B579" s="39" t="str">
        <f t="shared" si="39"/>
        <v>RECKITT  BENCKISER RB</v>
      </c>
      <c r="C579" s="10" t="str">
        <f>"37581"</f>
        <v>37581</v>
      </c>
      <c r="D579" s="3" t="str">
        <f>"5208070000875"</f>
        <v>5208070000875</v>
      </c>
      <c r="E579" s="3" t="str">
        <f>"DUREX PLAY FEEL LUBE 50ML"</f>
        <v>DUREX PLAY FEEL LUBE 50ML</v>
      </c>
      <c r="F579" s="19">
        <v>5.0599999999999996</v>
      </c>
      <c r="G579" s="5">
        <v>0.06</v>
      </c>
      <c r="H579" s="19">
        <f t="shared" si="38"/>
        <v>4.7563999999999993</v>
      </c>
      <c r="I579" s="3"/>
      <c r="J579" s="224"/>
    </row>
    <row r="580" spans="1:10" ht="15" customHeight="1" x14ac:dyDescent="0.25">
      <c r="A580" s="10">
        <v>5038483502730</v>
      </c>
      <c r="B580" s="39" t="str">
        <f t="shared" si="39"/>
        <v>RECKITT  BENCKISER RB</v>
      </c>
      <c r="C580" s="10" t="str">
        <f>"87965"</f>
        <v>87965</v>
      </c>
      <c r="D580" s="3" t="str">
        <f>"5038483502730"</f>
        <v>5038483502730</v>
      </c>
      <c r="E580" s="3" t="str">
        <f>"DUREX PLAY MASSAGE ALOE 200ML"</f>
        <v>DUREX PLAY MASSAGE ALOE 200ML</v>
      </c>
      <c r="F580" s="19">
        <v>7.81</v>
      </c>
      <c r="G580" s="5">
        <v>0.06</v>
      </c>
      <c r="H580" s="19">
        <f t="shared" si="38"/>
        <v>7.3413999999999993</v>
      </c>
      <c r="I580" s="3"/>
      <c r="J580" s="224"/>
    </row>
    <row r="581" spans="1:10" ht="15" customHeight="1" x14ac:dyDescent="0.25">
      <c r="A581" s="10">
        <v>5038483959176</v>
      </c>
      <c r="B581" s="39" t="str">
        <f t="shared" si="39"/>
        <v>RECKITT  BENCKISER RB</v>
      </c>
      <c r="C581" s="10" t="str">
        <f>"26459"</f>
        <v>26459</v>
      </c>
      <c r="D581" s="3" t="str">
        <f>"5038483959176"</f>
        <v>5038483959176</v>
      </c>
      <c r="E581" s="3" t="str">
        <f>"DUREX PLAY MASSAGE GUARANA 200ML"</f>
        <v>DUREX PLAY MASSAGE GUARANA 200ML</v>
      </c>
      <c r="F581" s="19">
        <v>7.81</v>
      </c>
      <c r="G581" s="5">
        <v>0.06</v>
      </c>
      <c r="H581" s="19">
        <f t="shared" si="38"/>
        <v>7.3413999999999993</v>
      </c>
      <c r="I581" s="3"/>
      <c r="J581" s="224"/>
    </row>
    <row r="582" spans="1:10" ht="15" customHeight="1" thickBot="1" x14ac:dyDescent="0.3">
      <c r="A582" s="11">
        <v>5052197050004</v>
      </c>
      <c r="B582" s="130" t="str">
        <f t="shared" si="39"/>
        <v>RECKITT  BENCKISER RB</v>
      </c>
      <c r="C582" s="11" t="str">
        <f>"20781"</f>
        <v>20781</v>
      </c>
      <c r="D582" s="12" t="str">
        <f>"5052197050004"</f>
        <v>5052197050004</v>
      </c>
      <c r="E582" s="12" t="str">
        <f>"DUREX PLEASURE RING 1TMX"</f>
        <v>DUREX PLEASURE RING 1TMX</v>
      </c>
      <c r="F582" s="19">
        <v>10.11</v>
      </c>
      <c r="G582" s="14">
        <v>0.06</v>
      </c>
      <c r="H582" s="28">
        <f t="shared" si="38"/>
        <v>9.5033999999999992</v>
      </c>
      <c r="I582" s="12"/>
      <c r="J582" s="220"/>
    </row>
    <row r="583" spans="1:10" ht="15" customHeight="1" x14ac:dyDescent="0.25">
      <c r="A583" s="21">
        <v>3574660460162</v>
      </c>
      <c r="B583" s="131" t="str">
        <f t="shared" si="39"/>
        <v>RECKITT  BENCKISER RB</v>
      </c>
      <c r="C583" s="57" t="str">
        <f>"03368"</f>
        <v>03368</v>
      </c>
      <c r="D583" s="41" t="str">
        <f>"3574660460162"</f>
        <v>3574660460162</v>
      </c>
      <c r="E583" s="41" t="str">
        <f>"K-Y JELLY 75ML"</f>
        <v>K-Y JELLY 75ML</v>
      </c>
      <c r="F583" s="19">
        <v>5.45</v>
      </c>
      <c r="G583" s="43">
        <v>0.2</v>
      </c>
      <c r="H583" s="42">
        <f t="shared" si="38"/>
        <v>4.3600000000000003</v>
      </c>
      <c r="I583" s="41"/>
      <c r="J583" s="58" t="s">
        <v>136</v>
      </c>
    </row>
    <row r="584" spans="1:10" ht="15" customHeight="1" thickBot="1" x14ac:dyDescent="0.3">
      <c r="A584" s="26">
        <v>5052197041545</v>
      </c>
      <c r="B584" s="132" t="s">
        <v>8</v>
      </c>
      <c r="C584" s="30" t="str">
        <f>"006975"</f>
        <v>006975</v>
      </c>
      <c r="D584" s="31" t="str">
        <f>"5052197041545"</f>
        <v>5052197041545</v>
      </c>
      <c r="E584" s="31" t="str">
        <f>"K-Y JELLY 82GR"</f>
        <v>K-Y JELLY 82GR</v>
      </c>
      <c r="F584" s="19">
        <v>5.45</v>
      </c>
      <c r="G584" s="33">
        <v>0.2</v>
      </c>
      <c r="H584" s="32">
        <f t="shared" si="38"/>
        <v>4.3600000000000003</v>
      </c>
      <c r="I584" s="31"/>
      <c r="J584" s="56" t="s">
        <v>136</v>
      </c>
    </row>
    <row r="585" spans="1:10" x14ac:dyDescent="0.25">
      <c r="A585" s="21">
        <v>8006540433195</v>
      </c>
      <c r="B585" s="131" t="str">
        <f t="shared" ref="B585:B590" si="40">"ΠΡΟΚΤΕΡ &amp; ΓΚΑΜΠΛ ΕΛΛΑΣ Μ.Ε.Π.Ε."</f>
        <v>ΠΡΟΚΤΕΡ &amp; ΓΚΑΜΠΛ ΕΛΛΑΣ Μ.Ε.Π.Ε.</v>
      </c>
      <c r="C585" s="21" t="str">
        <f>"99586"</f>
        <v>99586</v>
      </c>
      <c r="D585" s="22" t="str">
        <f>"8006540433195"</f>
        <v>8006540433195</v>
      </c>
      <c r="E585" s="22" t="str">
        <f>"CLEARBLUE COMBO PACK (EARLY &amp; ΕΒΔΟΜΑΔΑΣ) 2ΤΜΧ"</f>
        <v>CLEARBLUE COMBO PACK (EARLY &amp; ΕΒΔΟΜΑΔΑΣ) 2ΤΜΧ</v>
      </c>
      <c r="F585" s="19">
        <v>10.75</v>
      </c>
      <c r="G585" s="24">
        <v>0.08</v>
      </c>
      <c r="H585" s="23">
        <f t="shared" si="38"/>
        <v>9.89</v>
      </c>
      <c r="I585" s="22"/>
      <c r="J585" s="221" t="s">
        <v>38</v>
      </c>
    </row>
    <row r="586" spans="1:10" x14ac:dyDescent="0.25">
      <c r="A586" s="25">
        <v>8001090693877</v>
      </c>
      <c r="B586" s="40" t="str">
        <f t="shared" si="40"/>
        <v>ΠΡΟΚΤΕΡ &amp; ΓΚΑΜΠΛ ΕΛΛΑΣ Μ.Ε.Π.Ε.</v>
      </c>
      <c r="C586" s="25" t="str">
        <f>"43900"</f>
        <v>43900</v>
      </c>
      <c r="D586" s="18" t="str">
        <f>"8001090693877"</f>
        <v>8001090693877</v>
      </c>
      <c r="E586" s="18" t="str">
        <f>"CLEARBLUE EARLY 6 DAYS TEST x1"</f>
        <v>CLEARBLUE EARLY 6 DAYS TEST x1</v>
      </c>
      <c r="F586" s="19">
        <v>7.17</v>
      </c>
      <c r="G586" s="20">
        <v>0.08</v>
      </c>
      <c r="H586" s="19">
        <f t="shared" si="38"/>
        <v>6.5964</v>
      </c>
      <c r="I586" s="18"/>
      <c r="J586" s="218"/>
    </row>
    <row r="587" spans="1:10" x14ac:dyDescent="0.25">
      <c r="A587" s="25">
        <v>5011321914834</v>
      </c>
      <c r="B587" s="40" t="str">
        <f t="shared" si="40"/>
        <v>ΠΡΟΚΤΕΡ &amp; ΓΚΑΜΠΛ ΕΛΛΑΣ Μ.Ε.Π.Ε.</v>
      </c>
      <c r="C587" s="25" t="str">
        <f>"348"</f>
        <v>348</v>
      </c>
      <c r="D587" s="18" t="str">
        <f>"5011321914834"</f>
        <v>5011321914834</v>
      </c>
      <c r="E587" s="18" t="str">
        <f>"CLEARBLUE ONE STEP x1 (MONO)"</f>
        <v>CLEARBLUE ONE STEP x1 (MONO)</v>
      </c>
      <c r="F587" s="19">
        <v>5.97</v>
      </c>
      <c r="G587" s="20">
        <v>0.08</v>
      </c>
      <c r="H587" s="19">
        <f t="shared" si="38"/>
        <v>5.4923999999999999</v>
      </c>
      <c r="I587" s="18"/>
      <c r="J587" s="218"/>
    </row>
    <row r="588" spans="1:10" x14ac:dyDescent="0.25">
      <c r="A588" s="25">
        <v>5011321914759</v>
      </c>
      <c r="B588" s="40" t="str">
        <f t="shared" si="40"/>
        <v>ΠΡΟΚΤΕΡ &amp; ΓΚΑΜΠΛ ΕΛΛΑΣ Μ.Ε.Π.Ε.</v>
      </c>
      <c r="C588" s="25" t="str">
        <f>"00743"</f>
        <v>00743</v>
      </c>
      <c r="D588" s="18" t="str">
        <f>"5011321914759"</f>
        <v>5011321914759</v>
      </c>
      <c r="E588" s="18" t="str">
        <f>"CLEARBLUE ONE STEP x2 (ΔΙΠΛΟ)"</f>
        <v>CLEARBLUE ONE STEP x2 (ΔΙΠΛΟ)</v>
      </c>
      <c r="F588" s="19">
        <v>10.15</v>
      </c>
      <c r="G588" s="20">
        <v>0.08</v>
      </c>
      <c r="H588" s="19">
        <f t="shared" si="38"/>
        <v>9.338000000000001</v>
      </c>
      <c r="I588" s="18"/>
      <c r="J588" s="218"/>
    </row>
    <row r="589" spans="1:10" x14ac:dyDescent="0.25">
      <c r="A589" s="25">
        <v>4015600816117</v>
      </c>
      <c r="B589" s="40" t="str">
        <f t="shared" si="40"/>
        <v>ΠΡΟΚΤΕΡ &amp; ΓΚΑΜΠΛ ΕΛΛΑΣ Μ.Ε.Π.Ε.</v>
      </c>
      <c r="C589" s="25" t="str">
        <f>"32940"</f>
        <v>32940</v>
      </c>
      <c r="D589" s="18" t="str">
        <f>"4015600816117"</f>
        <v>4015600816117</v>
      </c>
      <c r="E589" s="18" t="str">
        <f>"CLEARBLUE ΨΗΦΙΑΚΟ TEST ΜΕ ΕΒΔΟΜΑΔΑ 1TEM"</f>
        <v>CLEARBLUE ΨΗΦΙΑΚΟ TEST ΜΕ ΕΒΔΟΜΑΔΑ 1TEM</v>
      </c>
      <c r="F589" s="19">
        <v>8.7100000000000009</v>
      </c>
      <c r="G589" s="20">
        <v>0.08</v>
      </c>
      <c r="H589" s="19">
        <f t="shared" si="38"/>
        <v>8.0132000000000012</v>
      </c>
      <c r="I589" s="18"/>
      <c r="J589" s="218"/>
    </row>
    <row r="590" spans="1:10" ht="15.75" thickBot="1" x14ac:dyDescent="0.3">
      <c r="A590" s="26">
        <v>8001090402363</v>
      </c>
      <c r="B590" s="132" t="str">
        <f t="shared" si="40"/>
        <v>ΠΡΟΚΤΕΡ &amp; ΓΚΑΜΠΛ ΕΛΛΑΣ Μ.Ε.Π.Ε.</v>
      </c>
      <c r="C590" s="26" t="str">
        <f>"053767"</f>
        <v>053767</v>
      </c>
      <c r="D590" s="27" t="str">
        <f>"8001090402363"</f>
        <v>8001090402363</v>
      </c>
      <c r="E590" s="27" t="str">
        <f>"CLEARBLUE ΩΟΡΡΗΞΙΑΣ DIGITAL"</f>
        <v>CLEARBLUE ΩΟΡΡΗΞΙΑΣ DIGITAL</v>
      </c>
      <c r="F590" s="19">
        <v>23</v>
      </c>
      <c r="G590" s="29">
        <v>0.08</v>
      </c>
      <c r="H590" s="28">
        <f t="shared" si="38"/>
        <v>21.16</v>
      </c>
      <c r="I590" s="27"/>
      <c r="J590" s="222"/>
    </row>
    <row r="591" spans="1:10" ht="15" customHeight="1" x14ac:dyDescent="0.25">
      <c r="A591" s="6">
        <v>5391520944314</v>
      </c>
      <c r="B591" s="129" t="str">
        <f>"OMEGA PHARMA HELLAS A.E."</f>
        <v>OMEGA PHARMA HELLAS A.E.</v>
      </c>
      <c r="C591" s="55" t="str">
        <f>"7299"</f>
        <v>7299</v>
      </c>
      <c r="D591" s="47" t="str">
        <f>"5391520944314"</f>
        <v>5391520944314</v>
      </c>
      <c r="E591" s="47" t="str">
        <f>"PREDICTOR EARLY TEST 6 DAYS"</f>
        <v>PREDICTOR EARLY TEST 6 DAYS</v>
      </c>
      <c r="F591" s="19">
        <v>6.28</v>
      </c>
      <c r="G591" s="48">
        <v>0.1</v>
      </c>
      <c r="H591" s="42">
        <f t="shared" si="38"/>
        <v>5.6520000000000001</v>
      </c>
      <c r="I591" s="47"/>
      <c r="J591" s="224" t="s">
        <v>81</v>
      </c>
    </row>
    <row r="592" spans="1:10" ht="15" customHeight="1" x14ac:dyDescent="0.25">
      <c r="A592" s="10">
        <v>5391520944796</v>
      </c>
      <c r="B592" s="39" t="str">
        <f>"OMEGA PHARMA HELLAS A.E."</f>
        <v>OMEGA PHARMA HELLAS A.E.</v>
      </c>
      <c r="C592" s="10" t="str">
        <f>"6944"</f>
        <v>6944</v>
      </c>
      <c r="D592" s="3" t="str">
        <f>"5391520944796"</f>
        <v>5391520944796</v>
      </c>
      <c r="E592" s="3" t="str">
        <f>"PREDICTOR EARLY+EXPRESS TEST x2"</f>
        <v>PREDICTOR EARLY+EXPRESS TEST x2</v>
      </c>
      <c r="F592" s="19">
        <v>9.85</v>
      </c>
      <c r="G592" s="5">
        <v>0.1</v>
      </c>
      <c r="H592" s="19">
        <f t="shared" si="38"/>
        <v>8.8650000000000002</v>
      </c>
      <c r="I592" s="3"/>
      <c r="J592" s="224"/>
    </row>
    <row r="593" spans="1:10" ht="15" customHeight="1" thickBot="1" x14ac:dyDescent="0.3">
      <c r="A593" s="11">
        <v>5201690111112</v>
      </c>
      <c r="B593" s="130" t="str">
        <f>"OMEGA PHARMA HELLAS A.E."</f>
        <v>OMEGA PHARMA HELLAS A.E.</v>
      </c>
      <c r="C593" s="15" t="str">
        <f>"16901"</f>
        <v>16901</v>
      </c>
      <c r="D593" s="16" t="str">
        <f>"5201690111112"</f>
        <v>5201690111112</v>
      </c>
      <c r="E593" s="16" t="str">
        <f>"PREDICTOR EXPRESS TEST x1 (MONO)"</f>
        <v>PREDICTOR EXPRESS TEST x1 (MONO)</v>
      </c>
      <c r="F593" s="19">
        <v>5.37</v>
      </c>
      <c r="G593" s="17">
        <v>0.1</v>
      </c>
      <c r="H593" s="32">
        <f t="shared" si="38"/>
        <v>4.8330000000000002</v>
      </c>
      <c r="I593" s="16"/>
      <c r="J593" s="224"/>
    </row>
    <row r="594" spans="1:10" ht="15" customHeight="1" x14ac:dyDescent="0.25">
      <c r="A594" s="25">
        <v>5202960402176</v>
      </c>
      <c r="B594" s="40" t="str">
        <f t="shared" ref="B594:B600" si="41">"ADAMS PHARM ΕΜΠΟΡΙΚΗ Α.Ε."</f>
        <v>ADAMS PHARM ΕΜΠΟΡΙΚΗ Α.Ε.</v>
      </c>
      <c r="C594" s="21" t="str">
        <f>"45039"</f>
        <v>45039</v>
      </c>
      <c r="D594" s="22" t="str">
        <f>"5202960402176"</f>
        <v>5202960402176</v>
      </c>
      <c r="E594" s="22" t="str">
        <f>"ACETON LANOLINE 100ML LANOVA"</f>
        <v>ACETON LANOLINE 100ML LANOVA</v>
      </c>
      <c r="F594" s="19">
        <v>1</v>
      </c>
      <c r="G594" s="24">
        <v>0.12</v>
      </c>
      <c r="H594" s="23">
        <f t="shared" si="38"/>
        <v>0.88</v>
      </c>
      <c r="I594" s="22"/>
      <c r="J594" s="247" t="s">
        <v>9</v>
      </c>
    </row>
    <row r="595" spans="1:10" ht="15" customHeight="1" x14ac:dyDescent="0.25">
      <c r="A595" s="25">
        <v>5202960402190</v>
      </c>
      <c r="B595" s="40" t="str">
        <f t="shared" si="41"/>
        <v>ADAMS PHARM ΕΜΠΟΡΙΚΗ Α.Ε.</v>
      </c>
      <c r="C595" s="25" t="str">
        <f>"47039"</f>
        <v>47039</v>
      </c>
      <c r="D595" s="18" t="str">
        <f>"5202960402190"</f>
        <v>5202960402190</v>
      </c>
      <c r="E595" s="18" t="str">
        <f>"ACETON LANOVA 100ML"</f>
        <v>ACETON LANOVA 100ML</v>
      </c>
      <c r="F595" s="19">
        <v>0.6</v>
      </c>
      <c r="G595" s="20">
        <v>0.12</v>
      </c>
      <c r="H595" s="19">
        <f t="shared" si="38"/>
        <v>0.52800000000000002</v>
      </c>
      <c r="I595" s="18"/>
      <c r="J595" s="248"/>
    </row>
    <row r="596" spans="1:10" s="2" customFormat="1" ht="15" customHeight="1" x14ac:dyDescent="0.25">
      <c r="A596" s="10">
        <v>4006670128002</v>
      </c>
      <c r="B596" s="39" t="str">
        <f t="shared" si="41"/>
        <v>ADAMS PHARM ΕΜΠΟΡΙΚΗ Α.Ε.</v>
      </c>
      <c r="C596" s="10" t="str">
        <f>"056693"</f>
        <v>056693</v>
      </c>
      <c r="D596" s="3" t="str">
        <f>"4006670128002"</f>
        <v>4006670128002</v>
      </c>
      <c r="E596" s="3" t="str">
        <f>"ZEWASOFT ΑΥΤΟΚΙΝΗΤΟΥ STYLE 3"</f>
        <v>ZEWASOFT ΑΥΤΟΚΙΝΗΤΟΥ STYLE 3</v>
      </c>
      <c r="F596" s="19">
        <v>2.76</v>
      </c>
      <c r="G596" s="5">
        <v>0.2</v>
      </c>
      <c r="H596" s="19">
        <f t="shared" si="38"/>
        <v>2.2079999999999997</v>
      </c>
      <c r="I596" s="3"/>
      <c r="J596" s="236" t="s">
        <v>15</v>
      </c>
    </row>
    <row r="597" spans="1:10" s="2" customFormat="1" ht="15" customHeight="1" x14ac:dyDescent="0.25">
      <c r="A597" s="10">
        <v>7322541113081</v>
      </c>
      <c r="B597" s="39" t="str">
        <f t="shared" si="41"/>
        <v>ADAMS PHARM ΕΜΠΟΡΙΚΗ Α.Ε.</v>
      </c>
      <c r="C597" s="10" t="str">
        <f>"2031"</f>
        <v>2031</v>
      </c>
      <c r="D597" s="3" t="str">
        <f>"7322541113081"</f>
        <v>7322541113081</v>
      </c>
      <c r="E597" s="3" t="str">
        <f>"ZEWASOFT ΧΑΡΤΟΜΑΝΤΗΛΑ ΤΣΕΠΗΣ x6(+2ΔΩΡΟ)"</f>
        <v>ZEWASOFT ΧΑΡΤΟΜΑΝΤΗΛΑ ΤΣΕΠΗΣ x6(+2ΔΩΡΟ)</v>
      </c>
      <c r="F597" s="19">
        <v>2.65</v>
      </c>
      <c r="G597" s="5">
        <v>0.2</v>
      </c>
      <c r="H597" s="19">
        <f t="shared" si="38"/>
        <v>2.12</v>
      </c>
      <c r="I597" s="3"/>
      <c r="J597" s="249"/>
    </row>
    <row r="598" spans="1:10" ht="15.75" thickBot="1" x14ac:dyDescent="0.3">
      <c r="A598" s="30">
        <v>5212002278461</v>
      </c>
      <c r="B598" s="133" t="str">
        <f t="shared" si="41"/>
        <v>ADAMS PHARM ΕΜΠΟΡΙΚΗ Α.Ε.</v>
      </c>
      <c r="C598" s="26" t="str">
        <f>"0457"</f>
        <v>0457</v>
      </c>
      <c r="D598" s="27" t="str">
        <f>"5212002278461"</f>
        <v>5212002278461</v>
      </c>
      <c r="E598" s="27" t="str">
        <f>"ΒΑΜΒΑΚΙ PAPPY 100% COTTON 70GR"</f>
        <v>ΒΑΜΒΑΚΙ PAPPY 100% COTTON 70GR</v>
      </c>
      <c r="F598" s="19">
        <v>0.72</v>
      </c>
      <c r="G598" s="29">
        <v>0.2</v>
      </c>
      <c r="H598" s="28">
        <f t="shared" si="38"/>
        <v>0.57599999999999996</v>
      </c>
      <c r="I598" s="27"/>
      <c r="J598" s="35" t="s">
        <v>48</v>
      </c>
    </row>
    <row r="599" spans="1:10" x14ac:dyDescent="0.25">
      <c r="A599" s="6">
        <v>3133200065634</v>
      </c>
      <c r="B599" s="129" t="str">
        <f t="shared" si="41"/>
        <v>ADAMS PHARM ΕΜΠΟΡΙΚΗ Α.Ε.</v>
      </c>
      <c r="C599" s="55" t="str">
        <f>"053741"</f>
        <v>053741</v>
      </c>
      <c r="D599" s="47" t="str">
        <f>"3133200065634"</f>
        <v>3133200065634</v>
      </c>
      <c r="E599" s="47" t="str">
        <f>"ΒΑΜΒΑΚΙ ΔΙΣΚΟΙ DEMAK-UP ΜΑΧΙ x50 ΦΑΡΔΥ ΟΒΑΛ"</f>
        <v>ΒΑΜΒΑΚΙ ΔΙΣΚΟΙ DEMAK-UP ΜΑΧΙ x50 ΦΑΡΔΥ ΟΒΑΛ</v>
      </c>
      <c r="F599" s="19">
        <v>3.42</v>
      </c>
      <c r="G599" s="48">
        <v>0.2</v>
      </c>
      <c r="H599" s="42">
        <f t="shared" si="38"/>
        <v>2.7359999999999998</v>
      </c>
      <c r="I599" s="47"/>
      <c r="J599" s="224" t="s">
        <v>50</v>
      </c>
    </row>
    <row r="600" spans="1:10" ht="15.75" thickBot="1" x14ac:dyDescent="0.3">
      <c r="A600" s="11">
        <v>3133200542920</v>
      </c>
      <c r="B600" s="130" t="str">
        <f t="shared" si="41"/>
        <v>ADAMS PHARM ΕΜΠΟΡΙΚΗ Α.Ε.</v>
      </c>
      <c r="C600" s="15" t="str">
        <f>"776"</f>
        <v>776</v>
      </c>
      <c r="D600" s="16" t="str">
        <f>"3133200542920"</f>
        <v>3133200542920</v>
      </c>
      <c r="E600" s="16" t="str">
        <f>"ΒΑΜΒΑΚΙ ΔΙΣΚΟΙ DEMAK-UP ΣΤΕΝΟ x84 (+20% ΔΩΡΟ)"</f>
        <v>ΒΑΜΒΑΚΙ ΔΙΣΚΟΙ DEMAK-UP ΣΤΕΝΟ x84 (+20% ΔΩΡΟ)</v>
      </c>
      <c r="F600" s="19">
        <v>2.84</v>
      </c>
      <c r="G600" s="17">
        <v>0.2</v>
      </c>
      <c r="H600" s="32">
        <f t="shared" si="38"/>
        <v>2.2719999999999998</v>
      </c>
      <c r="I600" s="16"/>
      <c r="J600" s="224"/>
    </row>
    <row r="601" spans="1:10" ht="15" customHeight="1" x14ac:dyDescent="0.25">
      <c r="A601" s="21">
        <v>4005800110689</v>
      </c>
      <c r="B601" s="131" t="str">
        <f>"BEIERSDORF HELLAS AE"</f>
        <v>BEIERSDORF HELLAS AE</v>
      </c>
      <c r="C601" s="21" t="str">
        <f>"03222"</f>
        <v>03222</v>
      </c>
      <c r="D601" s="22" t="str">
        <f>"4005800110689"</f>
        <v>4005800110689</v>
      </c>
      <c r="E601" s="22" t="str">
        <f>"HANSAPLAST 45906 UNIVERSAL STRIPS x20"</f>
        <v>HANSAPLAST 45906 UNIVERSAL STRIPS x20</v>
      </c>
      <c r="F601" s="19">
        <v>2.23</v>
      </c>
      <c r="G601" s="24">
        <v>0.2</v>
      </c>
      <c r="H601" s="23">
        <f t="shared" si="38"/>
        <v>1.784</v>
      </c>
      <c r="I601" s="22"/>
      <c r="J601" s="221" t="s">
        <v>54</v>
      </c>
    </row>
    <row r="602" spans="1:10" ht="15" customHeight="1" thickBot="1" x14ac:dyDescent="0.3">
      <c r="A602" s="26">
        <v>4005800110740</v>
      </c>
      <c r="B602" s="132" t="str">
        <f>"BEIERSDORF HELLAS AE"</f>
        <v>BEIERSDORF HELLAS AE</v>
      </c>
      <c r="C602" s="26" t="str">
        <f>"05056"</f>
        <v>05056</v>
      </c>
      <c r="D602" s="27" t="str">
        <f>"4005800110740"</f>
        <v>4005800110740</v>
      </c>
      <c r="E602" s="27" t="str">
        <f>"HANSAPLAST 45907 UNIVERSAL STRIPS x40"</f>
        <v>HANSAPLAST 45907 UNIVERSAL STRIPS x40</v>
      </c>
      <c r="F602" s="19">
        <v>3.52</v>
      </c>
      <c r="G602" s="29">
        <v>0.2</v>
      </c>
      <c r="H602" s="28">
        <f t="shared" si="38"/>
        <v>2.8159999999999998</v>
      </c>
      <c r="I602" s="27"/>
      <c r="J602" s="222"/>
    </row>
    <row r="603" spans="1:10" x14ac:dyDescent="0.25">
      <c r="A603" s="6">
        <v>8711700720830</v>
      </c>
      <c r="B603" s="129" t="str">
        <f>"ΣΑΡΑΝΤΗΣ ΓΡ. ΑΒΕΕ"</f>
        <v>ΣΑΡΑΝΤΗΣ ΓΡ. ΑΒΕΕ</v>
      </c>
      <c r="C603" s="55" t="str">
        <f>"674"</f>
        <v>674</v>
      </c>
      <c r="D603" s="47" t="str">
        <f>"8711700720830"</f>
        <v>8711700720830</v>
      </c>
      <c r="E603" s="47" t="str">
        <f>"FISSAN BABY CREAM 50ML NEO"</f>
        <v>FISSAN BABY CREAM 50ML NEO</v>
      </c>
      <c r="F603" s="19">
        <v>3.06</v>
      </c>
      <c r="G603" s="48">
        <v>0.15</v>
      </c>
      <c r="H603" s="42">
        <f t="shared" si="38"/>
        <v>2.601</v>
      </c>
      <c r="I603" s="47"/>
      <c r="J603" s="226" t="s">
        <v>35</v>
      </c>
    </row>
    <row r="604" spans="1:10" x14ac:dyDescent="0.25">
      <c r="A604" s="10">
        <v>8714100140529</v>
      </c>
      <c r="B604" s="39" t="str">
        <f>"ΣΑΡΑΝΤΗΣ ΓΡ. ΑΒΕΕ"</f>
        <v>ΣΑΡΑΝΤΗΣ ΓΡ. ΑΒΕΕ</v>
      </c>
      <c r="C604" s="10" t="str">
        <f>"675"</f>
        <v>675</v>
      </c>
      <c r="D604" s="3" t="str">
        <f>"8714100140529"</f>
        <v>8714100140529</v>
      </c>
      <c r="E604" s="3" t="str">
        <f>"FISSAN BABY POUDRE 100GR NEO"</f>
        <v>FISSAN BABY POUDRE 100GR NEO</v>
      </c>
      <c r="F604" s="19">
        <v>2.17</v>
      </c>
      <c r="G604" s="5">
        <v>0.15</v>
      </c>
      <c r="H604" s="19">
        <f t="shared" si="38"/>
        <v>1.8445</v>
      </c>
      <c r="I604" s="3"/>
      <c r="J604" s="226"/>
    </row>
    <row r="605" spans="1:10" x14ac:dyDescent="0.25">
      <c r="A605" s="10">
        <v>8004020933838</v>
      </c>
      <c r="B605" s="39" t="str">
        <f>"ΣΑΡΑΝΤΗΣ ΓΡ. ΑΒΕΕ"</f>
        <v>ΣΑΡΑΝΤΗΣ ΓΡ. ΑΒΕΕ</v>
      </c>
      <c r="C605" s="10" t="str">
        <f>"0619"</f>
        <v>0619</v>
      </c>
      <c r="D605" s="3" t="str">
        <f>"8004020933838"</f>
        <v>8004020933838</v>
      </c>
      <c r="E605" s="3" t="str">
        <f>"FISSAN BAGNETTO 500ML"</f>
        <v>FISSAN BAGNETTO 500ML</v>
      </c>
      <c r="F605" s="19">
        <v>5.37</v>
      </c>
      <c r="G605" s="5">
        <v>0.15</v>
      </c>
      <c r="H605" s="19">
        <f t="shared" si="38"/>
        <v>4.5644999999999998</v>
      </c>
      <c r="I605" s="3"/>
      <c r="J605" s="226"/>
    </row>
    <row r="606" spans="1:10" x14ac:dyDescent="0.25">
      <c r="A606" s="10">
        <v>8711700720878</v>
      </c>
      <c r="B606" s="39" t="str">
        <f>"ΣΑΡΑΝΤΗΣ ΓΡ. ΑΒΕΕ"</f>
        <v>ΣΑΡΑΝΤΗΣ ΓΡ. ΑΒΕΕ</v>
      </c>
      <c r="C606" s="10" t="str">
        <f>"01195"</f>
        <v>01195</v>
      </c>
      <c r="D606" s="3" t="str">
        <f>"8711700720878"</f>
        <v>8711700720878</v>
      </c>
      <c r="E606" s="3" t="str">
        <f>"FISSAN CR.ΕΝΥΔ.150 ml (ΧΑΜΟΜ)"</f>
        <v>FISSAN CR.ΕΝΥΔ.150 ml (ΧΑΜΟΜ)</v>
      </c>
      <c r="F606" s="19">
        <v>4.0199999999999996</v>
      </c>
      <c r="G606" s="5">
        <v>0.15</v>
      </c>
      <c r="H606" s="19">
        <f t="shared" si="38"/>
        <v>3.4169999999999998</v>
      </c>
      <c r="I606" s="3"/>
      <c r="J606" s="226"/>
    </row>
    <row r="607" spans="1:10" ht="15.75" thickBot="1" x14ac:dyDescent="0.3">
      <c r="A607" s="11">
        <v>8711700766074</v>
      </c>
      <c r="B607" s="130" t="str">
        <f>"ΣΑΡΑΝΤΗΣ ΓΡ. ΑΒΕΕ"</f>
        <v>ΣΑΡΑΝΤΗΣ ΓΡ. ΑΒΕΕ</v>
      </c>
      <c r="C607" s="15" t="str">
        <f>"01329"</f>
        <v>01329</v>
      </c>
      <c r="D607" s="16" t="str">
        <f>"8711700766074"</f>
        <v>8711700766074</v>
      </c>
      <c r="E607" s="16" t="str">
        <f>"FISSAN SAVON 90GR NEO"</f>
        <v>FISSAN SAVON 90GR NEO</v>
      </c>
      <c r="F607" s="19">
        <v>1.59</v>
      </c>
      <c r="G607" s="17">
        <v>0.15</v>
      </c>
      <c r="H607" s="32">
        <f t="shared" si="38"/>
        <v>1.3515000000000001</v>
      </c>
      <c r="I607" s="16"/>
      <c r="J607" s="226"/>
    </row>
    <row r="608" spans="1:10" x14ac:dyDescent="0.25">
      <c r="A608" s="21">
        <v>5201722011113</v>
      </c>
      <c r="B608" s="131" t="str">
        <f t="shared" ref="B608:B619" si="42">"ΠΑΠΑΕΛΛΗΝΑΣ Κ.ΑΕΒΕ"</f>
        <v>ΠΑΠΑΕΛΛΗΝΑΣ Κ.ΑΕΒΕ</v>
      </c>
      <c r="C608" s="21" t="str">
        <f>"17220"</f>
        <v>17220</v>
      </c>
      <c r="D608" s="22" t="str">
        <f>"5201722011113"</f>
        <v>5201722011113</v>
      </c>
      <c r="E608" s="22" t="str">
        <f>"LEUKOPLAST 47725 7,5CM x5M"</f>
        <v>LEUKOPLAST 47725 7,5CM x5M</v>
      </c>
      <c r="F608" s="19">
        <v>4.68</v>
      </c>
      <c r="G608" s="24">
        <v>0.1</v>
      </c>
      <c r="H608" s="23">
        <f t="shared" si="38"/>
        <v>4.2119999999999997</v>
      </c>
      <c r="I608" s="22"/>
      <c r="J608" s="221" t="s">
        <v>59</v>
      </c>
    </row>
    <row r="609" spans="1:10" x14ac:dyDescent="0.25">
      <c r="A609" s="25">
        <v>42079125</v>
      </c>
      <c r="B609" s="40" t="str">
        <f t="shared" si="42"/>
        <v>ΠΑΠΑΕΛΛΗΝΑΣ Κ.ΑΕΒΕ</v>
      </c>
      <c r="C609" s="25" t="str">
        <f>"04442"</f>
        <v>04442</v>
      </c>
      <c r="D609" s="18" t="str">
        <f>"42079125"</f>
        <v>42079125</v>
      </c>
      <c r="E609" s="18" t="str">
        <f>"LEUKOPLAST 72668-00 1,25CM x4,6M"</f>
        <v>LEUKOPLAST 72668-00 1,25CM x4,6M</v>
      </c>
      <c r="F609" s="19">
        <v>1.82</v>
      </c>
      <c r="G609" s="20">
        <v>0.1</v>
      </c>
      <c r="H609" s="19">
        <f t="shared" si="38"/>
        <v>1.6380000000000001</v>
      </c>
      <c r="I609" s="18"/>
      <c r="J609" s="218"/>
    </row>
    <row r="610" spans="1:10" x14ac:dyDescent="0.25">
      <c r="A610" s="25">
        <v>5200444311112</v>
      </c>
      <c r="B610" s="40" t="str">
        <f t="shared" si="42"/>
        <v>ΠΑΠΑΕΛΛΗΝΑΣ Κ.ΑΕΒΕ</v>
      </c>
      <c r="C610" s="25" t="str">
        <f>"04443"</f>
        <v>04443</v>
      </c>
      <c r="D610" s="18" t="str">
        <f>"5200444311112"</f>
        <v>5200444311112</v>
      </c>
      <c r="E610" s="18" t="str">
        <f>"LEUKOPLAST 72668-01 2,5CM x4,6M"</f>
        <v>LEUKOPLAST 72668-01 2,5CM x4,6M</v>
      </c>
      <c r="F610" s="19">
        <v>2.5299999999999998</v>
      </c>
      <c r="G610" s="20">
        <v>0.1</v>
      </c>
      <c r="H610" s="19">
        <f t="shared" si="38"/>
        <v>2.2769999999999997</v>
      </c>
      <c r="I610" s="18"/>
      <c r="J610" s="218"/>
    </row>
    <row r="611" spans="1:10" ht="15.75" thickBot="1" x14ac:dyDescent="0.3">
      <c r="A611" s="26">
        <v>42079149</v>
      </c>
      <c r="B611" s="132" t="str">
        <f t="shared" si="42"/>
        <v>ΠΑΠΑΕΛΛΗΝΑΣ Κ.ΑΕΒΕ</v>
      </c>
      <c r="C611" s="26" t="str">
        <f>"050605"</f>
        <v>050605</v>
      </c>
      <c r="D611" s="27" t="str">
        <f>"42079149"</f>
        <v>42079149</v>
      </c>
      <c r="E611" s="27" t="str">
        <f>"LEUKOPLAST 72668-02 5CM x4,6M"</f>
        <v>LEUKOPLAST 72668-02 5CM x4,6M</v>
      </c>
      <c r="F611" s="19">
        <v>4.34</v>
      </c>
      <c r="G611" s="29">
        <v>0.1</v>
      </c>
      <c r="H611" s="28">
        <f t="shared" si="38"/>
        <v>3.9059999999999997</v>
      </c>
      <c r="I611" s="27"/>
      <c r="J611" s="222"/>
    </row>
    <row r="612" spans="1:10" x14ac:dyDescent="0.25">
      <c r="A612" s="6">
        <v>42078722</v>
      </c>
      <c r="B612" s="129" t="str">
        <f t="shared" si="42"/>
        <v>ΠΑΠΑΕΛΛΗΝΑΣ Κ.ΑΕΒΕ</v>
      </c>
      <c r="C612" s="55" t="str">
        <f>"04553"</f>
        <v>04553</v>
      </c>
      <c r="D612" s="47" t="str">
        <f>"42078722"</f>
        <v>42078722</v>
      </c>
      <c r="E612" s="47" t="str">
        <f>"LEUKOPOR 2471 1,25CM x5M"</f>
        <v>LEUKOPOR 2471 1,25CM x5M</v>
      </c>
      <c r="F612" s="19">
        <v>1.82</v>
      </c>
      <c r="G612" s="48">
        <v>0.1</v>
      </c>
      <c r="H612" s="42">
        <f t="shared" ref="H612:H630" si="43">F612-F612*G612</f>
        <v>1.6380000000000001</v>
      </c>
      <c r="I612" s="47"/>
      <c r="J612" s="224" t="s">
        <v>59</v>
      </c>
    </row>
    <row r="613" spans="1:10" x14ac:dyDescent="0.25">
      <c r="A613" s="10">
        <v>4042809025309</v>
      </c>
      <c r="B613" s="39" t="str">
        <f t="shared" si="42"/>
        <v>ΠΑΠΑΕΛΛΗΝΑΣ Κ.ΑΕΒΕ</v>
      </c>
      <c r="C613" s="10" t="str">
        <f>"09563"</f>
        <v>09563</v>
      </c>
      <c r="D613" s="3" t="str">
        <f>"4042809025309"</f>
        <v>4042809025309</v>
      </c>
      <c r="E613" s="3" t="str">
        <f>"LEUKOPOR 2472 2,5CM x5M"</f>
        <v>LEUKOPOR 2472 2,5CM x5M</v>
      </c>
      <c r="F613" s="19">
        <v>2.46</v>
      </c>
      <c r="G613" s="5">
        <v>0.1</v>
      </c>
      <c r="H613" s="19">
        <f t="shared" si="43"/>
        <v>2.214</v>
      </c>
      <c r="I613" s="3"/>
      <c r="J613" s="224"/>
    </row>
    <row r="614" spans="1:10" ht="15.75" thickBot="1" x14ac:dyDescent="0.3">
      <c r="A614" s="11">
        <v>42078746</v>
      </c>
      <c r="B614" s="130" t="str">
        <f t="shared" si="42"/>
        <v>ΠΑΠΑΕΛΛΗΝΑΣ Κ.ΑΕΒΕ</v>
      </c>
      <c r="C614" s="15" t="str">
        <f>"050607"</f>
        <v>050607</v>
      </c>
      <c r="D614" s="16" t="str">
        <f>"42078746"</f>
        <v>42078746</v>
      </c>
      <c r="E614" s="16" t="str">
        <f>"LEUKOPOR 2474 5CM x5M"</f>
        <v>LEUKOPOR 2474 5CM x5M</v>
      </c>
      <c r="F614" s="19">
        <v>3.54</v>
      </c>
      <c r="G614" s="17">
        <v>0.1</v>
      </c>
      <c r="H614" s="32">
        <f t="shared" si="43"/>
        <v>3.1859999999999999</v>
      </c>
      <c r="I614" s="16"/>
      <c r="J614" s="224"/>
    </row>
    <row r="615" spans="1:10" x14ac:dyDescent="0.25">
      <c r="A615" s="21">
        <v>42079156</v>
      </c>
      <c r="B615" s="131" t="str">
        <f t="shared" si="42"/>
        <v>ΠΑΠΑΕΛΛΗΝΑΣ Κ.ΑΕΒΕ</v>
      </c>
      <c r="C615" s="21" t="str">
        <f>"04554"</f>
        <v>04554</v>
      </c>
      <c r="D615" s="22" t="str">
        <f>"42079156"</f>
        <v>42079156</v>
      </c>
      <c r="E615" s="22" t="str">
        <f>"LEUKOSILK 1,25CM x4,6M 72669-00"</f>
        <v>LEUKOSILK 1,25CM x4,6M 72669-00</v>
      </c>
      <c r="F615" s="19">
        <v>2.15</v>
      </c>
      <c r="G615" s="24">
        <v>0.1</v>
      </c>
      <c r="H615" s="23">
        <f t="shared" si="43"/>
        <v>1.9349999999999998</v>
      </c>
      <c r="I615" s="22"/>
      <c r="J615" s="221" t="s">
        <v>59</v>
      </c>
    </row>
    <row r="616" spans="1:10" x14ac:dyDescent="0.25">
      <c r="A616" s="25">
        <v>42079163</v>
      </c>
      <c r="B616" s="40" t="str">
        <f t="shared" si="42"/>
        <v>ΠΑΠΑΕΛΛΗΝΑΣ Κ.ΑΕΒΕ</v>
      </c>
      <c r="C616" s="25" t="str">
        <f>"04446"</f>
        <v>04446</v>
      </c>
      <c r="D616" s="18" t="str">
        <f>"42079163"</f>
        <v>42079163</v>
      </c>
      <c r="E616" s="18" t="str">
        <f>"LEUKOSILK 2,5CM x4,6M 72669-01"</f>
        <v>LEUKOSILK 2,5CM x4,6M 72669-01</v>
      </c>
      <c r="F616" s="19">
        <v>2.93</v>
      </c>
      <c r="G616" s="20">
        <v>0.1</v>
      </c>
      <c r="H616" s="19">
        <f t="shared" si="43"/>
        <v>2.637</v>
      </c>
      <c r="I616" s="18"/>
      <c r="J616" s="218"/>
    </row>
    <row r="617" spans="1:10" ht="15.75" thickBot="1" x14ac:dyDescent="0.3">
      <c r="A617" s="26">
        <v>42079170</v>
      </c>
      <c r="B617" s="132" t="str">
        <f t="shared" si="42"/>
        <v>ΠΑΠΑΕΛΛΗΝΑΣ Κ.ΑΕΒΕ</v>
      </c>
      <c r="C617" s="26" t="str">
        <f>"04441"</f>
        <v>04441</v>
      </c>
      <c r="D617" s="27" t="str">
        <f>"42079170"</f>
        <v>42079170</v>
      </c>
      <c r="E617" s="27" t="str">
        <f>"LEUKOSILK 5CM x4,6M 72669-02"</f>
        <v>LEUKOSILK 5CM x4,6M 72669-02</v>
      </c>
      <c r="F617" s="19">
        <v>5.24</v>
      </c>
      <c r="G617" s="29">
        <v>0.1</v>
      </c>
      <c r="H617" s="28">
        <f t="shared" si="43"/>
        <v>4.7160000000000002</v>
      </c>
      <c r="I617" s="27"/>
      <c r="J617" s="222"/>
    </row>
    <row r="618" spans="1:10" x14ac:dyDescent="0.25">
      <c r="A618" s="6">
        <v>5201347163594</v>
      </c>
      <c r="B618" s="129" t="str">
        <f t="shared" si="42"/>
        <v>ΠΑΠΑΕΛΛΗΝΑΣ Κ.ΑΕΒΕ</v>
      </c>
      <c r="C618" s="55" t="str">
        <f>"000758"</f>
        <v>000758</v>
      </c>
      <c r="D618" s="47" t="str">
        <f>"5201347163594"</f>
        <v>5201347163594</v>
      </c>
      <c r="E618" s="47" t="str">
        <f>"SCHOLL SPRAY ΠΑΠΟΥΤΣΙΩΝ 150ML"</f>
        <v>SCHOLL SPRAY ΠΑΠΟΥΤΣΙΩΝ 150ML</v>
      </c>
      <c r="F618" s="19">
        <v>4.71</v>
      </c>
      <c r="G618" s="48">
        <v>0.05</v>
      </c>
      <c r="H618" s="42">
        <f t="shared" si="43"/>
        <v>4.4744999999999999</v>
      </c>
      <c r="I618" s="47"/>
      <c r="J618" s="226" t="s">
        <v>22</v>
      </c>
    </row>
    <row r="619" spans="1:10" ht="15.75" thickBot="1" x14ac:dyDescent="0.3">
      <c r="A619" s="11">
        <v>5201347163570</v>
      </c>
      <c r="B619" s="130" t="str">
        <f t="shared" si="42"/>
        <v>ΠΑΠΑΕΛΛΗΝΑΣ Κ.ΑΕΒΕ</v>
      </c>
      <c r="C619" s="15" t="str">
        <f>"000752"</f>
        <v>000752</v>
      </c>
      <c r="D619" s="16" t="str">
        <f>"5201347163570"</f>
        <v>5201347163570</v>
      </c>
      <c r="E619" s="16" t="str">
        <f>"SCHOLL SPRAY ΠΟΔΙΩΝ 150ML"</f>
        <v>SCHOLL SPRAY ΠΟΔΙΩΝ 150ML</v>
      </c>
      <c r="F619" s="19">
        <v>4.71</v>
      </c>
      <c r="G619" s="17">
        <v>0.05</v>
      </c>
      <c r="H619" s="32">
        <f t="shared" si="43"/>
        <v>4.4744999999999999</v>
      </c>
      <c r="I619" s="16"/>
      <c r="J619" s="226"/>
    </row>
    <row r="620" spans="1:10" x14ac:dyDescent="0.25">
      <c r="A620" s="21">
        <v>5202960402107</v>
      </c>
      <c r="B620" s="131" t="str">
        <f>"ADAMS PHARM ΕΜΠΟΡΙΚΗ Α.Ε."</f>
        <v>ADAMS PHARM ΕΜΠΟΡΙΚΗ Α.Ε.</v>
      </c>
      <c r="C620" s="21" t="str">
        <f>"7928"</f>
        <v>7928</v>
      </c>
      <c r="D620" s="22" t="str">
        <f>"5202960402107"</f>
        <v>5202960402107</v>
      </c>
      <c r="E620" s="22" t="str">
        <f>"VASELINE LANOVA BAZO 55GR"</f>
        <v>VASELINE LANOVA BAZO 55GR</v>
      </c>
      <c r="F620" s="19">
        <v>0.96</v>
      </c>
      <c r="G620" s="24">
        <v>0.18</v>
      </c>
      <c r="H620" s="23">
        <f t="shared" si="43"/>
        <v>0.78720000000000001</v>
      </c>
      <c r="I620" s="22"/>
      <c r="J620" s="221" t="s">
        <v>47</v>
      </c>
    </row>
    <row r="621" spans="1:10" x14ac:dyDescent="0.25">
      <c r="A621" s="25">
        <v>5202960402121</v>
      </c>
      <c r="B621" s="40" t="str">
        <f>"ADAMS PHARM ΕΜΠΟΡΙΚΗ Α.Ε."</f>
        <v>ADAMS PHARM ΕΜΠΟΡΙΚΗ Α.Ε.</v>
      </c>
      <c r="C621" s="25" t="str">
        <f>"10004"</f>
        <v>10004</v>
      </c>
      <c r="D621" s="18" t="str">
        <f>"5202960402121"</f>
        <v>5202960402121</v>
      </c>
      <c r="E621" s="18" t="str">
        <f>"VASELINE LANOVA BAZO 90GR"</f>
        <v>VASELINE LANOVA BAZO 90GR</v>
      </c>
      <c r="F621" s="19">
        <v>1.2</v>
      </c>
      <c r="G621" s="20">
        <v>0.18</v>
      </c>
      <c r="H621" s="19">
        <f t="shared" si="43"/>
        <v>0.98399999999999999</v>
      </c>
      <c r="I621" s="18"/>
      <c r="J621" s="218"/>
    </row>
    <row r="622" spans="1:10" ht="15.75" thickBot="1" x14ac:dyDescent="0.3">
      <c r="A622" s="26">
        <v>5202960402114</v>
      </c>
      <c r="B622" s="132" t="str">
        <f>"ADAMS PHARM ΕΜΠΟΡΙΚΗ Α.Ε."</f>
        <v>ADAMS PHARM ΕΜΠΟΡΙΚΗ Α.Ε.</v>
      </c>
      <c r="C622" s="26" t="str">
        <f>"10005"</f>
        <v>10005</v>
      </c>
      <c r="D622" s="27" t="str">
        <f>"5202960402114"</f>
        <v>5202960402114</v>
      </c>
      <c r="E622" s="27" t="str">
        <f>"VASELINE LANOVA ΣΩΛΗΝΑΡΙΟ 15GR"</f>
        <v>VASELINE LANOVA ΣΩΛΗΝΑΡΙΟ 15GR</v>
      </c>
      <c r="F622" s="19">
        <v>0.8</v>
      </c>
      <c r="G622" s="29">
        <v>0.18</v>
      </c>
      <c r="H622" s="28">
        <f t="shared" si="43"/>
        <v>0.65600000000000003</v>
      </c>
      <c r="I622" s="27"/>
      <c r="J622" s="222"/>
    </row>
    <row r="623" spans="1:10" ht="15" customHeight="1" x14ac:dyDescent="0.25">
      <c r="A623" s="6">
        <v>5206355000015</v>
      </c>
      <c r="B623" s="129" t="str">
        <f>"ΚΑΡΑΜΠΙΝΗΣ MEDICAL Α.Ε."</f>
        <v>ΚΑΡΑΜΠΙΝΗΣ MEDICAL Α.Ε.</v>
      </c>
      <c r="C623" s="55" t="str">
        <f>"35180"</f>
        <v>35180</v>
      </c>
      <c r="D623" s="47" t="str">
        <f>"5206355000015"</f>
        <v>5206355000015</v>
      </c>
      <c r="E623" s="47" t="str">
        <f>"ΓΑΖΕΣ (15x15)CM x12 ALFA GAUZE"</f>
        <v>ΓΑΖΕΣ (15x15)CM x12 ALFA GAUZE</v>
      </c>
      <c r="F623" s="19">
        <v>1</v>
      </c>
      <c r="G623" s="48">
        <v>0.2</v>
      </c>
      <c r="H623" s="42">
        <f t="shared" si="43"/>
        <v>0.8</v>
      </c>
      <c r="I623" s="47"/>
      <c r="J623" s="224" t="s">
        <v>28</v>
      </c>
    </row>
    <row r="624" spans="1:10" ht="15" customHeight="1" x14ac:dyDescent="0.25">
      <c r="A624" s="10">
        <v>5206355024301</v>
      </c>
      <c r="B624" s="39" t="str">
        <f>"ΚΑΡΑΜΠΙΝΗΣ MEDICAL Α.Ε."</f>
        <v>ΚΑΡΑΜΠΙΝΗΣ MEDICAL Α.Ε.</v>
      </c>
      <c r="C624" s="10" t="str">
        <f>"35181"</f>
        <v>35181</v>
      </c>
      <c r="D624" s="3" t="str">
        <f>"5206355024301"</f>
        <v>5206355024301</v>
      </c>
      <c r="E624" s="3" t="str">
        <f>"ΓΑΖΕΣ (15x30)CM x12 ALFA GAUZE"</f>
        <v>ΓΑΖΕΣ (15x30)CM x12 ALFA GAUZE</v>
      </c>
      <c r="F624" s="19">
        <v>1.35</v>
      </c>
      <c r="G624" s="5">
        <v>0.2</v>
      </c>
      <c r="H624" s="19">
        <f t="shared" si="43"/>
        <v>1.08</v>
      </c>
      <c r="I624" s="3"/>
      <c r="J624" s="224"/>
    </row>
    <row r="625" spans="1:10" ht="15" customHeight="1" x14ac:dyDescent="0.25">
      <c r="A625" s="10">
        <v>5206355024318</v>
      </c>
      <c r="B625" s="39" t="str">
        <f>"ΚΑΡΑΜΠΙΝΗΣ MEDICAL Α.Ε."</f>
        <v>ΚΑΡΑΜΠΙΝΗΣ MEDICAL Α.Ε.</v>
      </c>
      <c r="C625" s="10" t="str">
        <f>"35182"</f>
        <v>35182</v>
      </c>
      <c r="D625" s="3" t="str">
        <f>"5206355024318"</f>
        <v>5206355024318</v>
      </c>
      <c r="E625" s="3" t="str">
        <f>"ΓΑΖΕΣ (17x30)CM x12 ALFA GAUZE"</f>
        <v>ΓΑΖΕΣ (17x30)CM x12 ALFA GAUZE</v>
      </c>
      <c r="F625" s="19">
        <v>1.4</v>
      </c>
      <c r="G625" s="5">
        <v>0.2</v>
      </c>
      <c r="H625" s="19">
        <f t="shared" si="43"/>
        <v>1.1199999999999999</v>
      </c>
      <c r="I625" s="3"/>
      <c r="J625" s="224"/>
    </row>
    <row r="626" spans="1:10" ht="15" customHeight="1" thickBot="1" x14ac:dyDescent="0.3">
      <c r="A626" s="11">
        <v>5206355024325</v>
      </c>
      <c r="B626" s="130" t="str">
        <f>"ΚΑΡΑΜΠΙΝΗΣ MEDICAL Α.Ε."</f>
        <v>ΚΑΡΑΜΠΙΝΗΣ MEDICAL Α.Ε.</v>
      </c>
      <c r="C626" s="15" t="str">
        <f>"35183"</f>
        <v>35183</v>
      </c>
      <c r="D626" s="16" t="str">
        <f>"5206355024325"</f>
        <v>5206355024325</v>
      </c>
      <c r="E626" s="16" t="str">
        <f>"ΓΑΖΕΣ (36x40)CM x10 ALFA GAUZE"</f>
        <v>ΓΑΖΕΣ (36x40)CM x10 ALFA GAUZE</v>
      </c>
      <c r="F626" s="19">
        <v>2.2599999999999998</v>
      </c>
      <c r="G626" s="17">
        <v>0.2</v>
      </c>
      <c r="H626" s="32">
        <f t="shared" si="43"/>
        <v>1.8079999999999998</v>
      </c>
      <c r="I626" s="16"/>
      <c r="J626" s="224"/>
    </row>
    <row r="627" spans="1:10" x14ac:dyDescent="0.25">
      <c r="A627" s="57">
        <v>5200250220004</v>
      </c>
      <c r="B627" s="71" t="str">
        <f>"ΛΑΜΕΝΤ Ι.Κ.Ε. - LAMED"</f>
        <v>ΛΑΜΕΝΤ Ι.Κ.Ε. - LAMED</v>
      </c>
      <c r="C627" s="21" t="str">
        <f>"4739"</f>
        <v>4739</v>
      </c>
      <c r="D627" s="22" t="str">
        <f>"5200250220004"</f>
        <v>5200250220004</v>
      </c>
      <c r="E627" s="22" t="str">
        <f>"ΓΑΖΕΣ (15x15)CM x12 LAMED"</f>
        <v>ΓΑΖΕΣ (15x15)CM x12 LAMED</v>
      </c>
      <c r="F627" s="19">
        <v>0.72</v>
      </c>
      <c r="G627" s="24">
        <v>0.25</v>
      </c>
      <c r="H627" s="23">
        <f t="shared" si="43"/>
        <v>0.54</v>
      </c>
      <c r="I627" s="22"/>
      <c r="J627" s="221" t="s">
        <v>28</v>
      </c>
    </row>
    <row r="628" spans="1:10" x14ac:dyDescent="0.25">
      <c r="A628" s="25">
        <v>5200250220011</v>
      </c>
      <c r="B628" s="40" t="str">
        <f>"ΛΑΜΕΝΤ Ι.Κ.Ε. - LAMED"</f>
        <v>ΛΑΜΕΝΤ Ι.Κ.Ε. - LAMED</v>
      </c>
      <c r="C628" s="25" t="str">
        <f>"4740"</f>
        <v>4740</v>
      </c>
      <c r="D628" s="18" t="str">
        <f>"5200250220011"</f>
        <v>5200250220011</v>
      </c>
      <c r="E628" s="18" t="str">
        <f>"ΓΑΖΕΣ (15x30)CM x12 LAMED"</f>
        <v>ΓΑΖΕΣ (15x30)CM x12 LAMED</v>
      </c>
      <c r="F628" s="19">
        <v>0.96</v>
      </c>
      <c r="G628" s="20">
        <v>0.25</v>
      </c>
      <c r="H628" s="19">
        <f t="shared" si="43"/>
        <v>0.72</v>
      </c>
      <c r="I628" s="18"/>
      <c r="J628" s="218"/>
    </row>
    <row r="629" spans="1:10" x14ac:dyDescent="0.25">
      <c r="A629" s="25">
        <v>5200250220028</v>
      </c>
      <c r="B629" s="40" t="str">
        <f>"ΛΑΜΕΝΤ Ι.Κ.Ε. - LAMED"</f>
        <v>ΛΑΜΕΝΤ Ι.Κ.Ε. - LAMED</v>
      </c>
      <c r="C629" s="25" t="str">
        <f>"4741"</f>
        <v>4741</v>
      </c>
      <c r="D629" s="18" t="str">
        <f>"5200250220028"</f>
        <v>5200250220028</v>
      </c>
      <c r="E629" s="18" t="str">
        <f>"ΓΑΖΕΣ (17x30)CM x12 LAMED"</f>
        <v>ΓΑΖΕΣ (17x30)CM x12 LAMED</v>
      </c>
      <c r="F629" s="19">
        <v>1.02</v>
      </c>
      <c r="G629" s="20">
        <v>0.25</v>
      </c>
      <c r="H629" s="19">
        <f t="shared" si="43"/>
        <v>0.76500000000000001</v>
      </c>
      <c r="I629" s="18"/>
      <c r="J629" s="218"/>
    </row>
    <row r="630" spans="1:10" ht="15.75" thickBot="1" x14ac:dyDescent="0.3">
      <c r="A630" s="26">
        <v>5200250220035</v>
      </c>
      <c r="B630" s="132" t="str">
        <f>"ΛΑΜΕΝΤ Ι.Κ.Ε. - LAMED"</f>
        <v>ΛΑΜΕΝΤ Ι.Κ.Ε. - LAMED</v>
      </c>
      <c r="C630" s="26" t="str">
        <f>"4742"</f>
        <v>4742</v>
      </c>
      <c r="D630" s="27" t="str">
        <f>"5200250220035"</f>
        <v>5200250220035</v>
      </c>
      <c r="E630" s="27" t="str">
        <f>"ΓΑΖΕΣ (36x40)CM x10 LAMED"</f>
        <v>ΓΑΖΕΣ (36x40)CM x10 LAMED</v>
      </c>
      <c r="F630" s="19">
        <v>1.5</v>
      </c>
      <c r="G630" s="29">
        <v>0.25</v>
      </c>
      <c r="H630" s="28">
        <f t="shared" si="43"/>
        <v>1.125</v>
      </c>
      <c r="I630" s="27"/>
      <c r="J630" s="222"/>
    </row>
  </sheetData>
  <autoFilter ref="A6:J630" xr:uid="{2B330D73-3368-4801-B0C8-31BF60412152}"/>
  <mergeCells count="131">
    <mergeCell ref="J155:J161"/>
    <mergeCell ref="J620:J622"/>
    <mergeCell ref="J623:J626"/>
    <mergeCell ref="J627:J630"/>
    <mergeCell ref="F1:J2"/>
    <mergeCell ref="F3:J4"/>
    <mergeCell ref="D5:I5"/>
    <mergeCell ref="J601:J602"/>
    <mergeCell ref="J603:J607"/>
    <mergeCell ref="J608:J611"/>
    <mergeCell ref="J612:J614"/>
    <mergeCell ref="J615:J617"/>
    <mergeCell ref="J618:J619"/>
    <mergeCell ref="J577:J582"/>
    <mergeCell ref="J585:J590"/>
    <mergeCell ref="J591:J593"/>
    <mergeCell ref="J594:J595"/>
    <mergeCell ref="J596:J597"/>
    <mergeCell ref="J599:J600"/>
    <mergeCell ref="J537:J547"/>
    <mergeCell ref="J548:J553"/>
    <mergeCell ref="J554:J558"/>
    <mergeCell ref="J559:J562"/>
    <mergeCell ref="J563:J569"/>
    <mergeCell ref="J570:J576"/>
    <mergeCell ref="J432:J433"/>
    <mergeCell ref="J434:J435"/>
    <mergeCell ref="J452:J456"/>
    <mergeCell ref="J446:J451"/>
    <mergeCell ref="J534:J535"/>
    <mergeCell ref="J411:J413"/>
    <mergeCell ref="J260:J261"/>
    <mergeCell ref="J422:J423"/>
    <mergeCell ref="J424:J425"/>
    <mergeCell ref="J420:J421"/>
    <mergeCell ref="J428:J431"/>
    <mergeCell ref="J333:J335"/>
    <mergeCell ref="J386:J387"/>
    <mergeCell ref="J388:J390"/>
    <mergeCell ref="J391:J399"/>
    <mergeCell ref="J400:J401"/>
    <mergeCell ref="J407:J410"/>
    <mergeCell ref="J364:J365"/>
    <mergeCell ref="J367:J368"/>
    <mergeCell ref="J369:J371"/>
    <mergeCell ref="J372:J373"/>
    <mergeCell ref="J374:J375"/>
    <mergeCell ref="J346:J350"/>
    <mergeCell ref="J275:J279"/>
    <mergeCell ref="J222:J225"/>
    <mergeCell ref="J337:J338"/>
    <mergeCell ref="J377:J384"/>
    <mergeCell ref="J354:J355"/>
    <mergeCell ref="J356:J357"/>
    <mergeCell ref="J358:J359"/>
    <mergeCell ref="J360:J363"/>
    <mergeCell ref="J312:J314"/>
    <mergeCell ref="J320:J322"/>
    <mergeCell ref="J323:J327"/>
    <mergeCell ref="J328:J330"/>
    <mergeCell ref="J302:J304"/>
    <mergeCell ref="J305:J307"/>
    <mergeCell ref="J308:J309"/>
    <mergeCell ref="J310:J311"/>
    <mergeCell ref="J281:J282"/>
    <mergeCell ref="J283:J285"/>
    <mergeCell ref="J290:J293"/>
    <mergeCell ref="J294:J295"/>
    <mergeCell ref="J296:J298"/>
    <mergeCell ref="J287:J289"/>
    <mergeCell ref="J148:J149"/>
    <mergeCell ref="J164:J182"/>
    <mergeCell ref="J80:J91"/>
    <mergeCell ref="J483:J488"/>
    <mergeCell ref="J480:J482"/>
    <mergeCell ref="J92:J94"/>
    <mergeCell ref="J95:J97"/>
    <mergeCell ref="J98:J99"/>
    <mergeCell ref="J183:J184"/>
    <mergeCell ref="J185:J198"/>
    <mergeCell ref="J199:J203"/>
    <mergeCell ref="J205:J207"/>
    <mergeCell ref="J208:J211"/>
    <mergeCell ref="J213:J215"/>
    <mergeCell ref="J115:J122"/>
    <mergeCell ref="J125:J134"/>
    <mergeCell ref="J236:J237"/>
    <mergeCell ref="J238:J240"/>
    <mergeCell ref="J241:J243"/>
    <mergeCell ref="J244:J248"/>
    <mergeCell ref="J250:J259"/>
    <mergeCell ref="J219:J221"/>
    <mergeCell ref="J228:J234"/>
    <mergeCell ref="J299:J301"/>
    <mergeCell ref="J517:J532"/>
    <mergeCell ref="J512:J516"/>
    <mergeCell ref="J507:J511"/>
    <mergeCell ref="J502:J506"/>
    <mergeCell ref="J499:J501"/>
    <mergeCell ref="J68:J70"/>
    <mergeCell ref="J71:J73"/>
    <mergeCell ref="J74:J76"/>
    <mergeCell ref="J54:J57"/>
    <mergeCell ref="J489:J492"/>
    <mergeCell ref="J493:J498"/>
    <mergeCell ref="J100:J102"/>
    <mergeCell ref="J476:J479"/>
    <mergeCell ref="J465:J475"/>
    <mergeCell ref="J103:J104"/>
    <mergeCell ref="J110:J114"/>
    <mergeCell ref="J66:J67"/>
    <mergeCell ref="J463:J464"/>
    <mergeCell ref="J461:J462"/>
    <mergeCell ref="J439:J443"/>
    <mergeCell ref="J444:J445"/>
    <mergeCell ref="J458:J460"/>
    <mergeCell ref="J139:J145"/>
    <mergeCell ref="J150:J152"/>
    <mergeCell ref="J105:J106"/>
    <mergeCell ref="J36:J39"/>
    <mergeCell ref="J42:J44"/>
    <mergeCell ref="J40:J41"/>
    <mergeCell ref="J46:J47"/>
    <mergeCell ref="J48:J49"/>
    <mergeCell ref="J50:J52"/>
    <mergeCell ref="J17:J18"/>
    <mergeCell ref="J19:J20"/>
    <mergeCell ref="J27:J30"/>
    <mergeCell ref="J23:J24"/>
    <mergeCell ref="J31:J32"/>
    <mergeCell ref="J33:J35"/>
  </mergeCells>
  <phoneticPr fontId="18" type="noConversion"/>
  <pageMargins left="0" right="0" top="0.35433070866141736" bottom="0.35433070866141736" header="0.11811023622047245" footer="0.11811023622047245"/>
  <pageSetup paperSize="9" scale="78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F138-9A24-4717-BF7E-EEDD18104D48}">
  <dimension ref="A1"/>
  <sheetViews>
    <sheetView workbookViewId="0">
      <selection activeCell="K20" sqref="K20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F0292-BAA4-4990-87A9-94509B1274B6}">
  <dimension ref="A3:G32"/>
  <sheetViews>
    <sheetView tabSelected="1" workbookViewId="0">
      <selection activeCell="A11" sqref="A11"/>
    </sheetView>
  </sheetViews>
  <sheetFormatPr defaultRowHeight="15" x14ac:dyDescent="0.25"/>
  <cols>
    <col min="1" max="1" width="94.85546875" customWidth="1"/>
    <col min="2" max="2" width="13.28515625" hidden="1" customWidth="1"/>
    <col min="5" max="5" width="28.5703125" bestFit="1" customWidth="1"/>
    <col min="6" max="6" width="30.7109375" customWidth="1"/>
  </cols>
  <sheetData>
    <row r="3" spans="1:7" x14ac:dyDescent="0.25">
      <c r="B3" s="2"/>
      <c r="G3" s="116"/>
    </row>
    <row r="4" spans="1:7" x14ac:dyDescent="0.25">
      <c r="F4" s="116"/>
    </row>
    <row r="5" spans="1:7" x14ac:dyDescent="0.25">
      <c r="F5" s="116"/>
    </row>
    <row r="6" spans="1:7" x14ac:dyDescent="0.25">
      <c r="F6" s="116"/>
    </row>
    <row r="7" spans="1:7" ht="23.25" x14ac:dyDescent="0.35">
      <c r="A7" s="117" t="s">
        <v>137</v>
      </c>
      <c r="B7" s="118"/>
      <c r="C7" s="118"/>
      <c r="D7" s="118"/>
      <c r="E7" s="118"/>
      <c r="F7" s="116"/>
    </row>
    <row r="8" spans="1:7" ht="18.75" x14ac:dyDescent="0.3">
      <c r="B8" s="118"/>
      <c r="F8" s="116"/>
    </row>
    <row r="9" spans="1:7" ht="18.75" x14ac:dyDescent="0.3">
      <c r="B9" s="118"/>
      <c r="F9" s="116"/>
    </row>
    <row r="10" spans="1:7" ht="18.75" x14ac:dyDescent="0.3">
      <c r="B10" s="118"/>
      <c r="F10" s="116"/>
    </row>
    <row r="11" spans="1:7" x14ac:dyDescent="0.25">
      <c r="A11" s="119" t="s">
        <v>138</v>
      </c>
      <c r="B11" s="120"/>
      <c r="F11" s="116"/>
    </row>
    <row r="12" spans="1:7" x14ac:dyDescent="0.25">
      <c r="A12" s="121" t="s">
        <v>139</v>
      </c>
      <c r="B12" s="120"/>
      <c r="F12" s="116"/>
    </row>
    <row r="13" spans="1:7" x14ac:dyDescent="0.25">
      <c r="A13" s="121" t="s">
        <v>140</v>
      </c>
      <c r="B13" s="120"/>
      <c r="F13" s="116"/>
    </row>
    <row r="14" spans="1:7" x14ac:dyDescent="0.25">
      <c r="A14" s="119"/>
      <c r="B14" s="120"/>
      <c r="F14" s="116"/>
    </row>
    <row r="15" spans="1:7" x14ac:dyDescent="0.25">
      <c r="A15" s="119" t="s">
        <v>141</v>
      </c>
      <c r="B15" s="120"/>
      <c r="F15" s="116"/>
    </row>
    <row r="16" spans="1:7" x14ac:dyDescent="0.25">
      <c r="A16" s="119"/>
      <c r="B16" s="120"/>
      <c r="F16" s="116"/>
    </row>
    <row r="17" spans="1:6" x14ac:dyDescent="0.25">
      <c r="A17" s="119"/>
      <c r="B17" s="120"/>
      <c r="F17" s="116"/>
    </row>
    <row r="18" spans="1:6" ht="20.100000000000001" customHeight="1" x14ac:dyDescent="0.25">
      <c r="A18" s="1" t="s">
        <v>142</v>
      </c>
      <c r="B18" s="122"/>
      <c r="C18" s="122"/>
      <c r="D18" s="122"/>
      <c r="E18" s="122"/>
      <c r="F18" s="122"/>
    </row>
    <row r="19" spans="1:6" ht="20.100000000000001" customHeight="1" x14ac:dyDescent="0.25">
      <c r="A19" s="1" t="s">
        <v>143</v>
      </c>
      <c r="B19" s="122"/>
      <c r="C19" s="122"/>
      <c r="D19" s="122"/>
      <c r="E19" s="122"/>
      <c r="F19" s="122"/>
    </row>
    <row r="20" spans="1:6" x14ac:dyDescent="0.25">
      <c r="A20" s="123" t="s">
        <v>144</v>
      </c>
      <c r="B20" s="124"/>
      <c r="C20" s="124"/>
      <c r="D20" s="124"/>
      <c r="E20" s="124"/>
      <c r="F20" s="124"/>
    </row>
    <row r="21" spans="1:6" x14ac:dyDescent="0.25">
      <c r="A21" s="125" t="s">
        <v>145</v>
      </c>
      <c r="B21" s="126"/>
      <c r="C21" s="126"/>
      <c r="D21" s="126"/>
      <c r="E21" s="126"/>
      <c r="F21" s="126"/>
    </row>
    <row r="22" spans="1:6" ht="30" x14ac:dyDescent="0.25">
      <c r="A22" s="123" t="s">
        <v>146</v>
      </c>
      <c r="B22" s="124"/>
      <c r="C22" s="124"/>
      <c r="D22" s="124"/>
      <c r="E22" s="124"/>
      <c r="F22" s="124"/>
    </row>
    <row r="23" spans="1:6" x14ac:dyDescent="0.25">
      <c r="A23" s="125" t="s">
        <v>147</v>
      </c>
      <c r="B23" s="126"/>
      <c r="C23" s="126"/>
      <c r="D23" s="126"/>
      <c r="E23" s="126"/>
      <c r="F23" s="126"/>
    </row>
    <row r="24" spans="1:6" ht="30" x14ac:dyDescent="0.25">
      <c r="A24" s="123" t="s">
        <v>148</v>
      </c>
      <c r="B24" s="124"/>
      <c r="C24" s="124"/>
      <c r="D24" s="124"/>
      <c r="E24" s="124"/>
      <c r="F24" s="126"/>
    </row>
    <row r="25" spans="1:6" x14ac:dyDescent="0.25">
      <c r="A25" s="125" t="s">
        <v>149</v>
      </c>
      <c r="B25" s="126"/>
      <c r="C25" s="126"/>
      <c r="D25" s="126"/>
      <c r="E25" s="126"/>
      <c r="F25" s="126"/>
    </row>
    <row r="26" spans="1:6" ht="30" x14ac:dyDescent="0.25">
      <c r="A26" s="123" t="s">
        <v>150</v>
      </c>
      <c r="B26" s="124"/>
      <c r="C26" s="124"/>
      <c r="D26" s="124"/>
      <c r="E26" s="124"/>
      <c r="F26" s="124"/>
    </row>
    <row r="28" spans="1:6" x14ac:dyDescent="0.25">
      <c r="A28" s="250" t="s">
        <v>151</v>
      </c>
      <c r="B28" s="250"/>
    </row>
    <row r="29" spans="1:6" x14ac:dyDescent="0.25">
      <c r="A29" s="127"/>
      <c r="B29" s="127"/>
    </row>
    <row r="30" spans="1:6" ht="30.75" customHeight="1" x14ac:dyDescent="0.25">
      <c r="A30" s="127"/>
      <c r="B30" s="127"/>
    </row>
    <row r="31" spans="1:6" ht="18" customHeight="1" x14ac:dyDescent="0.25">
      <c r="A31" s="127"/>
      <c r="B31" s="127"/>
    </row>
    <row r="32" spans="1:6" ht="27" customHeight="1" x14ac:dyDescent="0.25">
      <c r="A32" s="127"/>
      <c r="B32" s="127"/>
    </row>
  </sheetData>
  <mergeCells count="1">
    <mergeCell ref="A28:B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2022</vt:lpstr>
      <vt:lpstr>Φύλλο2</vt:lpstr>
      <vt:lpstr>Φύλλο3</vt:lpstr>
      <vt:lpstr>'2022'!Print_Titles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2022-12-05T12:44:41Z</cp:lastPrinted>
  <dcterms:created xsi:type="dcterms:W3CDTF">2022-09-03T11:04:39Z</dcterms:created>
  <dcterms:modified xsi:type="dcterms:W3CDTF">2022-12-05T12:44:45Z</dcterms:modified>
</cp:coreProperties>
</file>