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pagg\Downloads\"/>
    </mc:Choice>
  </mc:AlternateContent>
  <xr:revisionPtr revIDLastSave="0" documentId="8_{9849EAD7-95AE-491B-8882-834FAD55D5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ΣΥ.ΦΑ" sheetId="1" r:id="rId1"/>
  </sheets>
  <definedNames>
    <definedName name="_xlnm._FilterDatabase" localSheetId="0" hidden="1">ΣΥ.ΦΑ!$C$6:$I$6</definedName>
    <definedName name="_xlnm.Print_Titles" localSheetId="0">ΣΥ.ΦΑ!$1:$6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4" i="1" l="1"/>
  <c r="C183" i="1"/>
  <c r="C182" i="1"/>
  <c r="B184" i="1"/>
  <c r="B183" i="1"/>
  <c r="B182" i="1"/>
  <c r="C7" i="1"/>
  <c r="D7" i="1"/>
  <c r="E7" i="1"/>
  <c r="B7" i="1"/>
  <c r="C8" i="1"/>
  <c r="D8" i="1"/>
  <c r="E8" i="1"/>
  <c r="B8" i="1"/>
  <c r="C9" i="1"/>
  <c r="D9" i="1"/>
  <c r="E9" i="1"/>
  <c r="B9" i="1"/>
  <c r="C10" i="1"/>
  <c r="D10" i="1"/>
  <c r="E10" i="1"/>
  <c r="B10" i="1"/>
  <c r="C11" i="1"/>
  <c r="D11" i="1"/>
  <c r="E11" i="1"/>
  <c r="B11" i="1"/>
  <c r="C12" i="1"/>
  <c r="D12" i="1"/>
  <c r="E12" i="1"/>
  <c r="B12" i="1"/>
  <c r="C13" i="1"/>
  <c r="D13" i="1"/>
  <c r="E13" i="1"/>
  <c r="B13" i="1"/>
  <c r="C14" i="1"/>
  <c r="D14" i="1"/>
  <c r="E14" i="1"/>
  <c r="B14" i="1"/>
  <c r="C15" i="1"/>
  <c r="D15" i="1"/>
  <c r="E15" i="1"/>
  <c r="B15" i="1"/>
  <c r="C16" i="1"/>
  <c r="D16" i="1"/>
  <c r="E16" i="1"/>
  <c r="B16" i="1"/>
  <c r="C17" i="1"/>
  <c r="D17" i="1"/>
  <c r="E17" i="1"/>
  <c r="B17" i="1"/>
  <c r="C18" i="1"/>
  <c r="D18" i="1"/>
  <c r="E18" i="1"/>
  <c r="B18" i="1"/>
  <c r="C19" i="1"/>
  <c r="D19" i="1"/>
  <c r="E19" i="1"/>
  <c r="B19" i="1"/>
  <c r="C20" i="1"/>
  <c r="D20" i="1"/>
  <c r="E20" i="1"/>
  <c r="B20" i="1"/>
  <c r="C21" i="1"/>
  <c r="D21" i="1"/>
  <c r="E21" i="1"/>
  <c r="B21" i="1"/>
  <c r="C22" i="1"/>
  <c r="D22" i="1"/>
  <c r="E22" i="1"/>
  <c r="B22" i="1"/>
  <c r="C23" i="1"/>
  <c r="D23" i="1"/>
  <c r="E23" i="1"/>
  <c r="B23" i="1"/>
  <c r="C24" i="1"/>
  <c r="D24" i="1"/>
  <c r="E24" i="1"/>
  <c r="B24" i="1"/>
  <c r="C25" i="1"/>
  <c r="D25" i="1"/>
  <c r="E25" i="1"/>
  <c r="B25" i="1"/>
  <c r="C26" i="1"/>
  <c r="D26" i="1"/>
  <c r="E26" i="1"/>
  <c r="B26" i="1"/>
  <c r="C27" i="1"/>
  <c r="D27" i="1"/>
  <c r="E27" i="1"/>
  <c r="B27" i="1"/>
  <c r="C28" i="1"/>
  <c r="D28" i="1"/>
  <c r="E28" i="1"/>
  <c r="B28" i="1"/>
  <c r="C29" i="1"/>
  <c r="D29" i="1"/>
  <c r="E29" i="1"/>
  <c r="B29" i="1"/>
  <c r="C30" i="1"/>
  <c r="D30" i="1"/>
  <c r="E30" i="1"/>
  <c r="B30" i="1"/>
  <c r="C32" i="1"/>
  <c r="D32" i="1"/>
  <c r="E32" i="1"/>
  <c r="B32" i="1"/>
  <c r="C33" i="1"/>
  <c r="D33" i="1"/>
  <c r="E33" i="1"/>
  <c r="B33" i="1"/>
  <c r="C34" i="1"/>
  <c r="D34" i="1"/>
  <c r="E34" i="1"/>
  <c r="B34" i="1"/>
  <c r="C35" i="1"/>
  <c r="D35" i="1"/>
  <c r="E35" i="1"/>
  <c r="B35" i="1"/>
  <c r="C36" i="1"/>
  <c r="D36" i="1"/>
  <c r="E36" i="1"/>
  <c r="B36" i="1"/>
  <c r="C37" i="1"/>
  <c r="D37" i="1"/>
  <c r="E37" i="1"/>
  <c r="B37" i="1"/>
  <c r="C38" i="1"/>
  <c r="D38" i="1"/>
  <c r="E38" i="1"/>
  <c r="B38" i="1"/>
  <c r="C39" i="1"/>
  <c r="D39" i="1"/>
  <c r="E39" i="1"/>
  <c r="B39" i="1"/>
  <c r="C40" i="1"/>
  <c r="D40" i="1"/>
  <c r="E40" i="1"/>
  <c r="B40" i="1"/>
  <c r="C41" i="1"/>
  <c r="D41" i="1"/>
  <c r="E41" i="1"/>
  <c r="B41" i="1"/>
  <c r="C42" i="1"/>
  <c r="D42" i="1"/>
  <c r="E42" i="1"/>
  <c r="B42" i="1"/>
  <c r="C43" i="1"/>
  <c r="D43" i="1"/>
  <c r="E43" i="1"/>
  <c r="B43" i="1"/>
  <c r="C44" i="1"/>
  <c r="D44" i="1"/>
  <c r="E44" i="1"/>
  <c r="B44" i="1"/>
  <c r="C45" i="1"/>
  <c r="D45" i="1"/>
  <c r="E45" i="1"/>
  <c r="B45" i="1"/>
  <c r="C46" i="1"/>
  <c r="D46" i="1"/>
  <c r="E46" i="1"/>
  <c r="B46" i="1"/>
  <c r="C47" i="1"/>
  <c r="D47" i="1"/>
  <c r="E47" i="1"/>
  <c r="B47" i="1"/>
  <c r="C48" i="1"/>
  <c r="D48" i="1"/>
  <c r="E48" i="1"/>
  <c r="B48" i="1"/>
  <c r="C49" i="1"/>
  <c r="D49" i="1"/>
  <c r="E49" i="1"/>
  <c r="B49" i="1"/>
  <c r="C50" i="1"/>
  <c r="D50" i="1"/>
  <c r="E50" i="1"/>
  <c r="B50" i="1"/>
  <c r="C51" i="1"/>
  <c r="D51" i="1"/>
  <c r="E51" i="1"/>
  <c r="B51" i="1"/>
  <c r="C52" i="1"/>
  <c r="D52" i="1"/>
  <c r="E52" i="1"/>
  <c r="B52" i="1"/>
  <c r="C53" i="1"/>
  <c r="D53" i="1"/>
  <c r="E53" i="1"/>
  <c r="B53" i="1"/>
  <c r="C54" i="1"/>
  <c r="D54" i="1"/>
  <c r="E54" i="1"/>
  <c r="B54" i="1"/>
  <c r="C55" i="1"/>
  <c r="D55" i="1"/>
  <c r="E55" i="1"/>
  <c r="B55" i="1"/>
  <c r="C56" i="1"/>
  <c r="D56" i="1"/>
  <c r="E56" i="1"/>
  <c r="B56" i="1"/>
  <c r="C57" i="1"/>
  <c r="D57" i="1"/>
  <c r="E57" i="1"/>
  <c r="B57" i="1"/>
  <c r="C58" i="1"/>
  <c r="D58" i="1"/>
  <c r="E58" i="1"/>
  <c r="B58" i="1"/>
  <c r="C59" i="1"/>
  <c r="D59" i="1"/>
  <c r="E59" i="1"/>
  <c r="B59" i="1"/>
  <c r="C60" i="1"/>
  <c r="D60" i="1"/>
  <c r="E60" i="1"/>
  <c r="B60" i="1"/>
  <c r="C61" i="1"/>
  <c r="D61" i="1"/>
  <c r="E61" i="1"/>
  <c r="B61" i="1"/>
  <c r="C62" i="1"/>
  <c r="D62" i="1"/>
  <c r="E62" i="1"/>
  <c r="B62" i="1"/>
  <c r="C63" i="1"/>
  <c r="D63" i="1"/>
  <c r="E63" i="1"/>
  <c r="B63" i="1"/>
  <c r="C64" i="1"/>
  <c r="D64" i="1"/>
  <c r="E64" i="1"/>
  <c r="B64" i="1"/>
  <c r="C65" i="1"/>
  <c r="D65" i="1"/>
  <c r="E65" i="1"/>
  <c r="B65" i="1"/>
  <c r="C66" i="1"/>
  <c r="D66" i="1"/>
  <c r="E66" i="1"/>
  <c r="B66" i="1"/>
  <c r="C67" i="1"/>
  <c r="D67" i="1"/>
  <c r="E67" i="1"/>
  <c r="B67" i="1"/>
  <c r="C68" i="1"/>
  <c r="D68" i="1"/>
  <c r="E68" i="1"/>
  <c r="B68" i="1"/>
  <c r="C69" i="1"/>
  <c r="D69" i="1"/>
  <c r="E69" i="1"/>
  <c r="B69" i="1"/>
  <c r="C70" i="1"/>
  <c r="D70" i="1"/>
  <c r="E70" i="1"/>
  <c r="B70" i="1"/>
  <c r="C71" i="1"/>
  <c r="D71" i="1"/>
  <c r="E71" i="1"/>
  <c r="B71" i="1"/>
  <c r="C72" i="1"/>
  <c r="D72" i="1"/>
  <c r="E72" i="1"/>
  <c r="B72" i="1"/>
  <c r="C73" i="1"/>
  <c r="D73" i="1"/>
  <c r="E73" i="1"/>
  <c r="B73" i="1"/>
  <c r="C74" i="1"/>
  <c r="D74" i="1"/>
  <c r="E74" i="1"/>
  <c r="B74" i="1"/>
  <c r="C75" i="1"/>
  <c r="D75" i="1"/>
  <c r="E75" i="1"/>
  <c r="B75" i="1"/>
  <c r="C76" i="1"/>
  <c r="D76" i="1"/>
  <c r="E76" i="1"/>
  <c r="B76" i="1"/>
  <c r="C77" i="1"/>
  <c r="D77" i="1"/>
  <c r="E77" i="1"/>
  <c r="B77" i="1"/>
  <c r="C78" i="1"/>
  <c r="D78" i="1"/>
  <c r="E78" i="1"/>
  <c r="B78" i="1"/>
  <c r="C79" i="1"/>
  <c r="D79" i="1"/>
  <c r="E79" i="1"/>
  <c r="B79" i="1"/>
  <c r="C80" i="1"/>
  <c r="D80" i="1"/>
  <c r="E80" i="1"/>
  <c r="B80" i="1"/>
  <c r="C81" i="1"/>
  <c r="D81" i="1"/>
  <c r="E81" i="1"/>
  <c r="B81" i="1"/>
  <c r="C82" i="1"/>
  <c r="D82" i="1"/>
  <c r="E82" i="1"/>
  <c r="B82" i="1"/>
  <c r="C83" i="1"/>
  <c r="D83" i="1"/>
  <c r="E83" i="1"/>
  <c r="B83" i="1"/>
  <c r="C84" i="1"/>
  <c r="D84" i="1"/>
  <c r="E84" i="1"/>
  <c r="B84" i="1"/>
  <c r="C85" i="1"/>
  <c r="D85" i="1"/>
  <c r="E85" i="1"/>
  <c r="B85" i="1"/>
  <c r="C86" i="1"/>
  <c r="D86" i="1"/>
  <c r="E86" i="1"/>
  <c r="B86" i="1"/>
  <c r="C87" i="1"/>
  <c r="D87" i="1"/>
  <c r="E87" i="1"/>
  <c r="B87" i="1"/>
  <c r="C88" i="1"/>
  <c r="D88" i="1"/>
  <c r="E88" i="1"/>
  <c r="B88" i="1"/>
  <c r="C89" i="1"/>
  <c r="D89" i="1"/>
  <c r="E89" i="1"/>
  <c r="B89" i="1"/>
  <c r="C90" i="1"/>
  <c r="D90" i="1"/>
  <c r="E90" i="1"/>
  <c r="B90" i="1"/>
  <c r="C91" i="1"/>
  <c r="D91" i="1"/>
  <c r="E91" i="1"/>
  <c r="B91" i="1"/>
  <c r="C92" i="1"/>
  <c r="D92" i="1"/>
  <c r="E92" i="1"/>
  <c r="B92" i="1"/>
  <c r="C93" i="1"/>
  <c r="D93" i="1"/>
  <c r="E93" i="1"/>
  <c r="B93" i="1"/>
  <c r="C94" i="1"/>
  <c r="D94" i="1"/>
  <c r="E94" i="1"/>
  <c r="B94" i="1"/>
  <c r="C95" i="1"/>
  <c r="D95" i="1"/>
  <c r="E95" i="1"/>
  <c r="B95" i="1"/>
  <c r="C96" i="1"/>
  <c r="D96" i="1"/>
  <c r="E96" i="1"/>
  <c r="B96" i="1"/>
  <c r="C97" i="1"/>
  <c r="D97" i="1"/>
  <c r="E97" i="1"/>
  <c r="B97" i="1"/>
  <c r="C98" i="1"/>
  <c r="D98" i="1"/>
  <c r="E98" i="1"/>
  <c r="B98" i="1"/>
  <c r="C99" i="1"/>
  <c r="D99" i="1"/>
  <c r="E99" i="1"/>
  <c r="B99" i="1"/>
  <c r="C100" i="1"/>
  <c r="D100" i="1"/>
  <c r="E100" i="1"/>
  <c r="B100" i="1"/>
  <c r="C101" i="1"/>
  <c r="D101" i="1"/>
  <c r="E101" i="1"/>
  <c r="B101" i="1"/>
  <c r="C102" i="1"/>
  <c r="D102" i="1"/>
  <c r="E102" i="1"/>
  <c r="B102" i="1"/>
  <c r="C103" i="1"/>
  <c r="D103" i="1"/>
  <c r="E103" i="1"/>
  <c r="B103" i="1"/>
  <c r="C104" i="1"/>
  <c r="D104" i="1"/>
  <c r="E104" i="1"/>
  <c r="B104" i="1"/>
  <c r="C105" i="1"/>
  <c r="D105" i="1"/>
  <c r="E105" i="1"/>
  <c r="B105" i="1"/>
  <c r="C106" i="1"/>
  <c r="D106" i="1"/>
  <c r="E106" i="1"/>
  <c r="B106" i="1"/>
  <c r="C107" i="1"/>
  <c r="D107" i="1"/>
  <c r="E107" i="1"/>
  <c r="B107" i="1"/>
  <c r="C108" i="1"/>
  <c r="D108" i="1"/>
  <c r="E108" i="1"/>
  <c r="B108" i="1"/>
  <c r="C109" i="1"/>
  <c r="D109" i="1"/>
  <c r="E109" i="1"/>
  <c r="B109" i="1"/>
  <c r="C110" i="1"/>
  <c r="D110" i="1"/>
  <c r="E110" i="1"/>
  <c r="B110" i="1"/>
  <c r="C111" i="1"/>
  <c r="D111" i="1"/>
  <c r="E111" i="1"/>
  <c r="B111" i="1"/>
  <c r="C112" i="1"/>
  <c r="D112" i="1"/>
  <c r="E112" i="1"/>
  <c r="B112" i="1"/>
  <c r="C113" i="1"/>
  <c r="D113" i="1"/>
  <c r="E113" i="1"/>
  <c r="B113" i="1"/>
  <c r="C114" i="1"/>
  <c r="D114" i="1"/>
  <c r="E114" i="1"/>
  <c r="B114" i="1"/>
  <c r="C115" i="1"/>
  <c r="D115" i="1"/>
  <c r="E115" i="1"/>
  <c r="B115" i="1"/>
  <c r="C116" i="1"/>
  <c r="D116" i="1"/>
  <c r="E116" i="1"/>
  <c r="B116" i="1"/>
  <c r="C117" i="1"/>
  <c r="D117" i="1"/>
  <c r="E117" i="1"/>
  <c r="B117" i="1"/>
  <c r="C118" i="1"/>
  <c r="D118" i="1"/>
  <c r="E118" i="1"/>
  <c r="B118" i="1"/>
  <c r="C119" i="1"/>
  <c r="D119" i="1"/>
  <c r="E119" i="1"/>
  <c r="B119" i="1"/>
  <c r="C120" i="1"/>
  <c r="D120" i="1"/>
  <c r="E120" i="1"/>
  <c r="B120" i="1"/>
  <c r="C121" i="1"/>
  <c r="D121" i="1"/>
  <c r="E121" i="1"/>
  <c r="B121" i="1"/>
  <c r="C122" i="1"/>
  <c r="D122" i="1"/>
  <c r="E122" i="1"/>
  <c r="B122" i="1"/>
  <c r="C123" i="1"/>
  <c r="D123" i="1"/>
  <c r="E123" i="1"/>
  <c r="B123" i="1"/>
  <c r="C124" i="1"/>
  <c r="D124" i="1"/>
  <c r="E124" i="1"/>
  <c r="B124" i="1"/>
  <c r="C125" i="1"/>
  <c r="D125" i="1"/>
  <c r="E125" i="1"/>
  <c r="B125" i="1"/>
  <c r="C126" i="1"/>
  <c r="D126" i="1"/>
  <c r="E126" i="1"/>
  <c r="B126" i="1"/>
  <c r="C127" i="1"/>
  <c r="D127" i="1"/>
  <c r="E127" i="1"/>
  <c r="B127" i="1"/>
  <c r="C128" i="1"/>
  <c r="D128" i="1"/>
  <c r="E128" i="1"/>
  <c r="B128" i="1"/>
  <c r="C129" i="1"/>
  <c r="D129" i="1"/>
  <c r="E129" i="1"/>
  <c r="B129" i="1"/>
  <c r="C130" i="1"/>
  <c r="D130" i="1"/>
  <c r="E130" i="1"/>
  <c r="B130" i="1"/>
  <c r="C131" i="1"/>
  <c r="D131" i="1"/>
  <c r="E131" i="1"/>
  <c r="B131" i="1"/>
  <c r="C132" i="1"/>
  <c r="D132" i="1"/>
  <c r="E132" i="1"/>
  <c r="B132" i="1"/>
  <c r="C133" i="1"/>
  <c r="D133" i="1"/>
  <c r="E133" i="1"/>
  <c r="B133" i="1"/>
  <c r="C134" i="1"/>
  <c r="D134" i="1"/>
  <c r="E134" i="1"/>
  <c r="B134" i="1"/>
  <c r="C135" i="1"/>
  <c r="D135" i="1"/>
  <c r="E135" i="1"/>
  <c r="B135" i="1"/>
  <c r="C136" i="1"/>
  <c r="D136" i="1"/>
  <c r="E136" i="1"/>
  <c r="B136" i="1"/>
  <c r="C137" i="1"/>
  <c r="D137" i="1"/>
  <c r="E137" i="1"/>
  <c r="B137" i="1"/>
  <c r="C138" i="1"/>
  <c r="D138" i="1"/>
  <c r="E138" i="1"/>
  <c r="B138" i="1"/>
  <c r="C139" i="1"/>
  <c r="D139" i="1"/>
  <c r="E139" i="1"/>
  <c r="B139" i="1"/>
  <c r="C140" i="1"/>
  <c r="D140" i="1"/>
  <c r="E140" i="1"/>
  <c r="B140" i="1"/>
  <c r="C141" i="1"/>
  <c r="D141" i="1"/>
  <c r="E141" i="1"/>
  <c r="B141" i="1"/>
  <c r="C142" i="1"/>
  <c r="D142" i="1"/>
  <c r="E142" i="1"/>
  <c r="B142" i="1"/>
  <c r="C143" i="1"/>
  <c r="D143" i="1"/>
  <c r="E143" i="1"/>
  <c r="B143" i="1"/>
  <c r="C144" i="1"/>
  <c r="D144" i="1"/>
  <c r="E144" i="1"/>
  <c r="B144" i="1"/>
  <c r="C145" i="1"/>
  <c r="D145" i="1"/>
  <c r="E145" i="1"/>
  <c r="B145" i="1"/>
  <c r="C146" i="1"/>
  <c r="D146" i="1"/>
  <c r="E146" i="1"/>
  <c r="B146" i="1"/>
  <c r="C147" i="1"/>
  <c r="D147" i="1"/>
  <c r="E147" i="1"/>
  <c r="B147" i="1"/>
  <c r="C148" i="1"/>
  <c r="D148" i="1"/>
  <c r="E148" i="1"/>
  <c r="B148" i="1"/>
  <c r="C150" i="1"/>
  <c r="D150" i="1"/>
  <c r="E150" i="1"/>
  <c r="B150" i="1"/>
  <c r="C151" i="1"/>
  <c r="D151" i="1"/>
  <c r="E151" i="1"/>
  <c r="B151" i="1"/>
  <c r="C152" i="1"/>
  <c r="D152" i="1"/>
  <c r="E152" i="1"/>
  <c r="B152" i="1"/>
  <c r="C149" i="1"/>
  <c r="D149" i="1"/>
  <c r="E149" i="1"/>
  <c r="B149" i="1"/>
  <c r="C153" i="1"/>
  <c r="D153" i="1"/>
  <c r="E153" i="1"/>
  <c r="B153" i="1"/>
  <c r="C154" i="1"/>
  <c r="D154" i="1"/>
  <c r="E154" i="1"/>
  <c r="B154" i="1"/>
  <c r="C155" i="1"/>
  <c r="D155" i="1"/>
  <c r="E155" i="1"/>
  <c r="B155" i="1"/>
  <c r="C156" i="1"/>
  <c r="D156" i="1"/>
  <c r="E156" i="1"/>
  <c r="B156" i="1"/>
  <c r="C157" i="1"/>
  <c r="D157" i="1"/>
  <c r="E157" i="1"/>
  <c r="B157" i="1"/>
  <c r="C158" i="1"/>
  <c r="D158" i="1"/>
  <c r="E158" i="1"/>
  <c r="B158" i="1"/>
  <c r="C159" i="1"/>
  <c r="D159" i="1"/>
  <c r="E159" i="1"/>
  <c r="B159" i="1"/>
  <c r="C160" i="1"/>
  <c r="D160" i="1"/>
  <c r="E160" i="1"/>
  <c r="B160" i="1"/>
  <c r="C161" i="1"/>
  <c r="D161" i="1"/>
  <c r="E161" i="1"/>
  <c r="B161" i="1"/>
  <c r="C162" i="1"/>
  <c r="D162" i="1"/>
  <c r="E162" i="1"/>
  <c r="B162" i="1"/>
  <c r="C163" i="1"/>
  <c r="D163" i="1"/>
  <c r="E163" i="1"/>
  <c r="B163" i="1"/>
  <c r="C164" i="1"/>
  <c r="D164" i="1"/>
  <c r="E164" i="1"/>
  <c r="B164" i="1"/>
  <c r="C165" i="1"/>
  <c r="D165" i="1"/>
  <c r="E165" i="1"/>
  <c r="B165" i="1"/>
  <c r="C166" i="1"/>
  <c r="D166" i="1"/>
  <c r="E166" i="1"/>
  <c r="B166" i="1"/>
  <c r="C167" i="1"/>
  <c r="D167" i="1"/>
  <c r="E167" i="1"/>
  <c r="B167" i="1"/>
  <c r="C168" i="1"/>
  <c r="D168" i="1"/>
  <c r="E168" i="1"/>
  <c r="B168" i="1"/>
  <c r="C169" i="1"/>
  <c r="D169" i="1"/>
  <c r="E169" i="1"/>
  <c r="B169" i="1"/>
  <c r="C170" i="1"/>
  <c r="D170" i="1"/>
  <c r="E170" i="1"/>
  <c r="B170" i="1"/>
  <c r="C171" i="1"/>
  <c r="D171" i="1"/>
  <c r="E171" i="1"/>
  <c r="B171" i="1"/>
  <c r="C172" i="1"/>
  <c r="D172" i="1"/>
  <c r="E172" i="1"/>
  <c r="B172" i="1"/>
  <c r="C173" i="1"/>
  <c r="D173" i="1"/>
  <c r="E173" i="1"/>
  <c r="B173" i="1"/>
  <c r="C174" i="1"/>
  <c r="D174" i="1"/>
  <c r="E174" i="1"/>
  <c r="B174" i="1"/>
  <c r="C175" i="1"/>
  <c r="D175" i="1"/>
  <c r="E175" i="1"/>
  <c r="B175" i="1"/>
  <c r="C176" i="1"/>
  <c r="D176" i="1"/>
  <c r="E176" i="1"/>
  <c r="B176" i="1"/>
  <c r="C177" i="1"/>
  <c r="D177" i="1"/>
  <c r="E177" i="1"/>
  <c r="B177" i="1"/>
  <c r="C178" i="1"/>
  <c r="D178" i="1"/>
  <c r="E178" i="1"/>
  <c r="B178" i="1"/>
  <c r="C179" i="1"/>
  <c r="D179" i="1"/>
  <c r="E179" i="1"/>
  <c r="B179" i="1"/>
  <c r="C180" i="1"/>
  <c r="D180" i="1"/>
  <c r="E180" i="1"/>
  <c r="B180" i="1"/>
  <c r="C181" i="1"/>
  <c r="D181" i="1"/>
  <c r="E181" i="1"/>
  <c r="B181" i="1"/>
  <c r="C185" i="1"/>
  <c r="D185" i="1"/>
  <c r="E185" i="1"/>
  <c r="B185" i="1"/>
  <c r="C186" i="1"/>
  <c r="D186" i="1"/>
  <c r="E186" i="1"/>
  <c r="B186" i="1"/>
  <c r="C187" i="1"/>
  <c r="D187" i="1"/>
  <c r="E187" i="1"/>
  <c r="B187" i="1"/>
  <c r="C188" i="1"/>
  <c r="D188" i="1"/>
  <c r="E188" i="1"/>
  <c r="B188" i="1"/>
  <c r="C189" i="1"/>
  <c r="D189" i="1"/>
  <c r="E189" i="1"/>
  <c r="B189" i="1"/>
  <c r="C190" i="1"/>
  <c r="D190" i="1"/>
  <c r="E190" i="1"/>
  <c r="B190" i="1"/>
  <c r="C191" i="1"/>
  <c r="D191" i="1"/>
  <c r="E191" i="1"/>
  <c r="B191" i="1"/>
  <c r="C192" i="1"/>
  <c r="D192" i="1"/>
  <c r="E192" i="1"/>
  <c r="B192" i="1"/>
  <c r="C193" i="1"/>
  <c r="D193" i="1"/>
  <c r="E193" i="1"/>
  <c r="B193" i="1"/>
  <c r="C194" i="1"/>
  <c r="D194" i="1"/>
  <c r="E194" i="1"/>
  <c r="B194" i="1"/>
  <c r="C195" i="1"/>
  <c r="D195" i="1"/>
  <c r="E195" i="1"/>
  <c r="B195" i="1"/>
  <c r="C196" i="1"/>
  <c r="D196" i="1"/>
  <c r="E196" i="1"/>
  <c r="B196" i="1"/>
  <c r="C197" i="1"/>
  <c r="D197" i="1"/>
  <c r="E197" i="1"/>
  <c r="B197" i="1"/>
  <c r="C198" i="1"/>
  <c r="D198" i="1"/>
  <c r="E198" i="1"/>
  <c r="B198" i="1"/>
  <c r="C199" i="1"/>
  <c r="D199" i="1"/>
  <c r="E199" i="1"/>
  <c r="B199" i="1"/>
  <c r="C200" i="1"/>
  <c r="D200" i="1"/>
  <c r="E200" i="1"/>
  <c r="B200" i="1"/>
  <c r="C201" i="1"/>
  <c r="D201" i="1"/>
  <c r="E201" i="1"/>
  <c r="B201" i="1"/>
  <c r="C202" i="1"/>
  <c r="D202" i="1"/>
  <c r="E202" i="1"/>
  <c r="B202" i="1"/>
  <c r="C203" i="1"/>
  <c r="D203" i="1"/>
  <c r="E203" i="1"/>
  <c r="B203" i="1"/>
  <c r="C204" i="1"/>
  <c r="D204" i="1"/>
  <c r="E204" i="1"/>
  <c r="B204" i="1"/>
  <c r="C205" i="1"/>
  <c r="D205" i="1"/>
  <c r="E205" i="1"/>
  <c r="B205" i="1"/>
  <c r="C206" i="1"/>
  <c r="D206" i="1"/>
  <c r="E206" i="1"/>
  <c r="B206" i="1"/>
  <c r="C207" i="1"/>
  <c r="D207" i="1"/>
  <c r="E207" i="1"/>
  <c r="B207" i="1"/>
  <c r="C208" i="1"/>
  <c r="D208" i="1"/>
  <c r="E208" i="1"/>
  <c r="B208" i="1"/>
  <c r="C209" i="1"/>
  <c r="D209" i="1"/>
  <c r="E209" i="1"/>
  <c r="B209" i="1"/>
  <c r="C210" i="1"/>
  <c r="D210" i="1"/>
  <c r="E210" i="1"/>
  <c r="B210" i="1"/>
  <c r="C211" i="1"/>
  <c r="D211" i="1"/>
  <c r="E211" i="1"/>
  <c r="B211" i="1"/>
  <c r="C212" i="1"/>
  <c r="D212" i="1"/>
  <c r="E212" i="1"/>
  <c r="B212" i="1"/>
  <c r="C213" i="1"/>
  <c r="D213" i="1"/>
  <c r="E213" i="1"/>
  <c r="B213" i="1"/>
  <c r="C214" i="1"/>
  <c r="D214" i="1"/>
  <c r="E214" i="1"/>
  <c r="B214" i="1"/>
  <c r="C215" i="1"/>
  <c r="D215" i="1"/>
  <c r="E215" i="1"/>
  <c r="B215" i="1"/>
  <c r="C216" i="1"/>
  <c r="D216" i="1"/>
  <c r="E216" i="1"/>
  <c r="B216" i="1"/>
  <c r="C217" i="1"/>
  <c r="D217" i="1"/>
  <c r="E217" i="1"/>
  <c r="B217" i="1"/>
  <c r="C218" i="1"/>
  <c r="D218" i="1"/>
  <c r="E218" i="1"/>
  <c r="B218" i="1"/>
  <c r="C219" i="1"/>
  <c r="D219" i="1"/>
  <c r="E219" i="1"/>
  <c r="B219" i="1"/>
  <c r="C220" i="1"/>
  <c r="D220" i="1"/>
  <c r="E220" i="1"/>
  <c r="B220" i="1"/>
  <c r="C221" i="1"/>
  <c r="D221" i="1"/>
  <c r="E221" i="1"/>
  <c r="B221" i="1"/>
  <c r="C222" i="1"/>
  <c r="D222" i="1"/>
  <c r="E222" i="1"/>
  <c r="B222" i="1"/>
  <c r="C223" i="1"/>
  <c r="D223" i="1"/>
  <c r="E223" i="1"/>
  <c r="B223" i="1"/>
  <c r="C224" i="1"/>
  <c r="D224" i="1"/>
  <c r="E224" i="1"/>
  <c r="B224" i="1"/>
  <c r="C225" i="1"/>
  <c r="D225" i="1"/>
  <c r="E225" i="1"/>
  <c r="B225" i="1"/>
  <c r="C226" i="1"/>
  <c r="D226" i="1"/>
  <c r="E226" i="1"/>
  <c r="B226" i="1"/>
  <c r="C227" i="1"/>
  <c r="D227" i="1"/>
  <c r="E227" i="1"/>
  <c r="B227" i="1"/>
  <c r="C228" i="1"/>
  <c r="D228" i="1"/>
  <c r="E228" i="1"/>
  <c r="B228" i="1"/>
  <c r="C229" i="1"/>
  <c r="D229" i="1"/>
  <c r="E229" i="1"/>
  <c r="B229" i="1"/>
  <c r="C230" i="1"/>
  <c r="D230" i="1"/>
  <c r="E230" i="1"/>
  <c r="B230" i="1"/>
  <c r="C231" i="1"/>
  <c r="D231" i="1"/>
  <c r="E231" i="1"/>
  <c r="B231" i="1"/>
  <c r="C232" i="1"/>
  <c r="D232" i="1"/>
  <c r="E232" i="1"/>
  <c r="B232" i="1"/>
  <c r="C233" i="1"/>
  <c r="D233" i="1"/>
  <c r="E233" i="1"/>
  <c r="B233" i="1"/>
  <c r="C234" i="1"/>
  <c r="D234" i="1"/>
  <c r="E234" i="1"/>
  <c r="B234" i="1"/>
  <c r="C235" i="1"/>
  <c r="D235" i="1"/>
  <c r="E235" i="1"/>
  <c r="B235" i="1"/>
  <c r="C236" i="1"/>
  <c r="D236" i="1"/>
  <c r="E236" i="1"/>
  <c r="B236" i="1"/>
  <c r="C237" i="1"/>
  <c r="D237" i="1"/>
  <c r="E237" i="1"/>
  <c r="B237" i="1"/>
  <c r="C238" i="1"/>
  <c r="D238" i="1"/>
  <c r="E238" i="1"/>
  <c r="B238" i="1"/>
  <c r="C239" i="1"/>
  <c r="D239" i="1"/>
  <c r="E239" i="1"/>
  <c r="B239" i="1"/>
  <c r="C240" i="1"/>
  <c r="D240" i="1"/>
  <c r="E240" i="1"/>
  <c r="B240" i="1"/>
  <c r="C241" i="1"/>
  <c r="D241" i="1"/>
  <c r="E241" i="1"/>
  <c r="B241" i="1"/>
  <c r="C242" i="1"/>
  <c r="D242" i="1"/>
  <c r="E242" i="1"/>
  <c r="B242" i="1"/>
  <c r="C243" i="1"/>
  <c r="D243" i="1"/>
  <c r="E243" i="1"/>
  <c r="B243" i="1"/>
  <c r="C244" i="1"/>
  <c r="D244" i="1"/>
  <c r="E244" i="1"/>
  <c r="B244" i="1"/>
  <c r="C245" i="1"/>
  <c r="D245" i="1"/>
  <c r="E245" i="1"/>
  <c r="B245" i="1"/>
  <c r="C246" i="1"/>
  <c r="D246" i="1"/>
  <c r="E246" i="1"/>
  <c r="B246" i="1"/>
  <c r="C247" i="1"/>
  <c r="D247" i="1"/>
  <c r="E247" i="1"/>
  <c r="B247" i="1"/>
  <c r="C248" i="1"/>
  <c r="D248" i="1"/>
  <c r="E248" i="1"/>
  <c r="B248" i="1"/>
  <c r="C249" i="1"/>
  <c r="D249" i="1"/>
  <c r="E249" i="1"/>
  <c r="B249" i="1"/>
  <c r="C250" i="1"/>
  <c r="D250" i="1"/>
  <c r="E250" i="1"/>
  <c r="B250" i="1"/>
  <c r="C251" i="1"/>
  <c r="D251" i="1"/>
  <c r="E251" i="1"/>
  <c r="B251" i="1"/>
  <c r="C252" i="1"/>
  <c r="D252" i="1"/>
  <c r="E252" i="1"/>
  <c r="B252" i="1"/>
  <c r="C253" i="1"/>
  <c r="D253" i="1"/>
  <c r="E253" i="1"/>
  <c r="B253" i="1"/>
  <c r="C254" i="1"/>
  <c r="D254" i="1"/>
  <c r="E254" i="1"/>
  <c r="B254" i="1"/>
  <c r="C255" i="1"/>
  <c r="D255" i="1"/>
  <c r="E255" i="1"/>
  <c r="B255" i="1"/>
  <c r="C256" i="1"/>
  <c r="D256" i="1"/>
  <c r="E256" i="1"/>
  <c r="B256" i="1"/>
  <c r="C257" i="1"/>
  <c r="D257" i="1"/>
  <c r="E257" i="1"/>
  <c r="B257" i="1"/>
  <c r="C258" i="1"/>
  <c r="D258" i="1"/>
  <c r="E258" i="1"/>
  <c r="B258" i="1"/>
  <c r="C259" i="1"/>
  <c r="D259" i="1"/>
  <c r="E259" i="1"/>
  <c r="B259" i="1"/>
  <c r="C260" i="1"/>
  <c r="D260" i="1"/>
  <c r="E260" i="1"/>
  <c r="B260" i="1"/>
  <c r="C261" i="1"/>
  <c r="D261" i="1"/>
  <c r="E261" i="1"/>
  <c r="B261" i="1"/>
  <c r="C262" i="1"/>
  <c r="D262" i="1"/>
  <c r="E262" i="1"/>
  <c r="B262" i="1"/>
  <c r="C263" i="1"/>
  <c r="D263" i="1"/>
  <c r="E263" i="1"/>
  <c r="B263" i="1"/>
  <c r="C264" i="1"/>
  <c r="D264" i="1"/>
  <c r="E264" i="1"/>
  <c r="B264" i="1"/>
  <c r="C265" i="1"/>
  <c r="D265" i="1"/>
  <c r="E265" i="1"/>
  <c r="B265" i="1"/>
  <c r="C266" i="1"/>
  <c r="D266" i="1"/>
  <c r="E266" i="1"/>
  <c r="B266" i="1"/>
  <c r="C267" i="1"/>
  <c r="D267" i="1"/>
  <c r="E267" i="1"/>
  <c r="B267" i="1"/>
  <c r="C268" i="1"/>
  <c r="D268" i="1"/>
  <c r="E268" i="1"/>
  <c r="B268" i="1"/>
  <c r="C269" i="1"/>
  <c r="D269" i="1"/>
  <c r="E269" i="1"/>
  <c r="B269" i="1"/>
  <c r="C270" i="1"/>
  <c r="D270" i="1"/>
  <c r="E270" i="1"/>
  <c r="B270" i="1"/>
  <c r="C271" i="1"/>
  <c r="D271" i="1"/>
  <c r="E271" i="1"/>
  <c r="B271" i="1"/>
  <c r="C272" i="1"/>
  <c r="D272" i="1"/>
  <c r="E272" i="1"/>
  <c r="B272" i="1"/>
  <c r="C273" i="1"/>
  <c r="D273" i="1"/>
  <c r="E273" i="1"/>
  <c r="B273" i="1"/>
  <c r="C274" i="1"/>
  <c r="D274" i="1"/>
  <c r="E274" i="1"/>
  <c r="B274" i="1"/>
  <c r="C275" i="1"/>
  <c r="D275" i="1"/>
  <c r="E275" i="1"/>
  <c r="B275" i="1"/>
  <c r="C276" i="1"/>
  <c r="D276" i="1"/>
  <c r="E276" i="1"/>
  <c r="B276" i="1"/>
  <c r="C277" i="1"/>
  <c r="D277" i="1"/>
  <c r="E277" i="1"/>
  <c r="B277" i="1"/>
  <c r="C278" i="1"/>
  <c r="D278" i="1"/>
  <c r="E278" i="1"/>
  <c r="B278" i="1"/>
  <c r="C279" i="1"/>
  <c r="D279" i="1"/>
  <c r="E279" i="1"/>
  <c r="B279" i="1"/>
  <c r="C280" i="1"/>
  <c r="D280" i="1"/>
  <c r="E280" i="1"/>
  <c r="B280" i="1"/>
  <c r="C281" i="1"/>
  <c r="D281" i="1"/>
  <c r="E281" i="1"/>
  <c r="B281" i="1"/>
  <c r="C282" i="1"/>
  <c r="D282" i="1"/>
  <c r="E282" i="1"/>
  <c r="B282" i="1"/>
  <c r="C283" i="1"/>
  <c r="D283" i="1"/>
  <c r="E283" i="1"/>
  <c r="B283" i="1"/>
  <c r="C284" i="1"/>
  <c r="D284" i="1"/>
  <c r="E284" i="1"/>
  <c r="B284" i="1"/>
  <c r="C285" i="1"/>
  <c r="D285" i="1"/>
  <c r="E285" i="1"/>
  <c r="B285" i="1"/>
  <c r="C286" i="1"/>
  <c r="D286" i="1"/>
  <c r="E286" i="1"/>
  <c r="B286" i="1"/>
  <c r="C287" i="1"/>
  <c r="D287" i="1"/>
  <c r="E287" i="1"/>
  <c r="B287" i="1"/>
  <c r="C288" i="1"/>
  <c r="D288" i="1"/>
  <c r="E288" i="1"/>
  <c r="B288" i="1"/>
  <c r="C289" i="1"/>
  <c r="D289" i="1"/>
  <c r="E289" i="1"/>
  <c r="B289" i="1"/>
  <c r="C290" i="1"/>
  <c r="D290" i="1"/>
  <c r="E290" i="1"/>
  <c r="B290" i="1"/>
  <c r="C291" i="1"/>
  <c r="D291" i="1"/>
  <c r="E291" i="1"/>
  <c r="B291" i="1"/>
  <c r="C292" i="1"/>
  <c r="D292" i="1"/>
  <c r="E292" i="1"/>
  <c r="B292" i="1"/>
  <c r="C293" i="1"/>
  <c r="D293" i="1"/>
  <c r="E293" i="1"/>
  <c r="B293" i="1"/>
  <c r="C294" i="1"/>
  <c r="D294" i="1"/>
  <c r="E294" i="1"/>
  <c r="B294" i="1"/>
  <c r="C295" i="1"/>
  <c r="D295" i="1"/>
  <c r="E295" i="1"/>
  <c r="B295" i="1"/>
  <c r="C296" i="1"/>
  <c r="D296" i="1"/>
  <c r="E296" i="1"/>
  <c r="B296" i="1"/>
  <c r="C297" i="1"/>
  <c r="D297" i="1"/>
  <c r="E297" i="1"/>
  <c r="B297" i="1"/>
  <c r="C298" i="1"/>
  <c r="D298" i="1"/>
  <c r="E298" i="1"/>
  <c r="B298" i="1"/>
  <c r="C299" i="1"/>
  <c r="D299" i="1"/>
  <c r="E299" i="1"/>
  <c r="B299" i="1"/>
  <c r="C300" i="1"/>
  <c r="D300" i="1"/>
  <c r="E300" i="1"/>
  <c r="B300" i="1"/>
</calcChain>
</file>

<file path=xl/sharedStrings.xml><?xml version="1.0" encoding="utf-8"?>
<sst xmlns="http://schemas.openxmlformats.org/spreadsheetml/2006/main" count="34" uniqueCount="33">
  <si>
    <t>VIANEX A.E.</t>
  </si>
  <si>
    <t>Περιγραφή Βασικού Προμηθευτή</t>
  </si>
  <si>
    <t>Κωδικός Είδους</t>
  </si>
  <si>
    <t>BAR CODE</t>
  </si>
  <si>
    <t>Περιγραφή</t>
  </si>
  <si>
    <t>Ποσότητα</t>
  </si>
  <si>
    <t>Έκπτωση %</t>
  </si>
  <si>
    <t>ΠΑΡΑΤΗΡΗΣΕΙΣ</t>
  </si>
  <si>
    <t>Χονδ.Τιμή</t>
  </si>
  <si>
    <t>ΣΤΑ 20 ΤΕΜ. 7% ΕΚΠΤΩΣΗ</t>
  </si>
  <si>
    <t>ΣΤΑ 5 ΤΕΜ. 10% ΕΚΠΤΩΣΗ</t>
  </si>
  <si>
    <t>ΣΤΑ 5 ΤΕΜ. 5% ΕΚΠΤΩΣΗ</t>
  </si>
  <si>
    <t>ΣΤΑ 5 ΤΕΜ. 7% ΕΚΠΤΩΣΗ</t>
  </si>
  <si>
    <t>ΣΤΑ 5 ΤΕΜ. 14% ΕΚΠΤΩΣΗ</t>
  </si>
  <si>
    <t>ΣΤΑ 5 ΤΕΜ. 12% ΕΚΠΤΩΣΗ</t>
  </si>
  <si>
    <t xml:space="preserve">ΚΑΤΑΛΟΓΟΣ   ΣΥ.ΦΑ.     </t>
  </si>
  <si>
    <t xml:space="preserve">Η προσφορά ισχύει μέχρι εξάντλησης των αποθεμάτων ή μέχρι αντικτάστασής της με νέα . Οι τιμές μπορεί να αλλάξουν απροειδοποίητα , ακολουθούν τους εκάστοτε τιμοκαταλόγους των εταιρειών (ΜΗ ΣΥΦΑ) &amp; του εκάστοτε δελτίου τιμών του υπουργείου (ΣΥΦΑ). Για την εκτέλεσή της χρειαζόμαστε τρείς (3) εώς πέντε (5) εργάσιμες ημέρες.  </t>
  </si>
  <si>
    <t>ΕΛΑΧΙΣΤΟ ΟΡΙΟ ΠΑΡΑΓΓΕΛΙΑΣ  300,00€</t>
  </si>
  <si>
    <t>ΣΤΑ 30 ΤΕΜ. 7% ΕΚΠΤΩΣΗ</t>
  </si>
  <si>
    <t>ΣΤΑ 10 ΤΕΜ. 7% ΕΚΠΤΩΣΗ</t>
  </si>
  <si>
    <t>ΣΤΑ 3 ΤΕΜ. 7% ΕΚΠΤΩΣΗ (ΛΗΞΗ 11/2022)</t>
  </si>
  <si>
    <t>2803229301044</t>
  </si>
  <si>
    <t>2803229302010</t>
  </si>
  <si>
    <t>2803229303024</t>
  </si>
  <si>
    <t>NEWMEN F.C.TABL. 30x5MG</t>
  </si>
  <si>
    <t>NEWMEN F.C.TABL. 4x10MG</t>
  </si>
  <si>
    <t>NEWMEN F.C.TABL. 4x20MG</t>
  </si>
  <si>
    <t>ΣΤΑ 3 ΤΕΜ. 12% ΕΚΠΤΩΣΗ</t>
  </si>
  <si>
    <t>ΟΚΤΩΒΡΙΟΣ 2022</t>
  </si>
  <si>
    <t>287730103</t>
  </si>
  <si>
    <t>2802877301031</t>
  </si>
  <si>
    <t>BILARGEN TABL. 30x20MG</t>
  </si>
  <si>
    <t>ΣΤΑ 5 ΤΕΜ. 7% ΕΚΠΤΩΣΗ  ΣΤΑ 10 ΤΕΜ. 9% ΕΚΠΤΩΣΗ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</si>
</sst>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20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57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6">
    <xf numFmtId="0" fontId="0" fillId="0" borderId="0" xfId="0"/>
    <xf numFmtId="1" fontId="0" fillId="0" borderId="0" xfId="0" applyNumberFormat="1"/>
    <xf numFmtId="8" fontId="0" fillId="0" borderId="0" xfId="0" applyNumberFormat="1"/>
    <xf numFmtId="0" fontId="17" fillId="33" borderId="10" xfId="0" applyFont="1" applyFill="1" applyBorder="1"/>
    <xf numFmtId="164" fontId="17" fillId="33" borderId="10" xfId="0" applyNumberFormat="1" applyFont="1" applyFill="1" applyBorder="1"/>
    <xf numFmtId="10" fontId="17" fillId="33" borderId="10" xfId="0" applyNumberFormat="1" applyFont="1" applyFill="1" applyBorder="1"/>
    <xf numFmtId="10" fontId="0" fillId="0" borderId="0" xfId="0" applyNumberFormat="1"/>
    <xf numFmtId="0" fontId="17" fillId="33" borderId="11" xfId="0" applyFont="1" applyFill="1" applyBorder="1"/>
    <xf numFmtId="0" fontId="0" fillId="0" borderId="10" xfId="0" applyBorder="1"/>
    <xf numFmtId="8" fontId="0" fillId="0" borderId="10" xfId="0" applyNumberFormat="1" applyBorder="1"/>
    <xf numFmtId="10" fontId="0" fillId="0" borderId="10" xfId="0" applyNumberFormat="1" applyBorder="1"/>
    <xf numFmtId="1" fontId="16" fillId="0" borderId="0" xfId="0" applyNumberFormat="1" applyFont="1"/>
    <xf numFmtId="0" fontId="16" fillId="0" borderId="0" xfId="0" applyFont="1"/>
    <xf numFmtId="0" fontId="16" fillId="0" borderId="10" xfId="0" applyFont="1" applyBorder="1"/>
    <xf numFmtId="8" fontId="16" fillId="0" borderId="10" xfId="0" applyNumberFormat="1" applyFont="1" applyBorder="1"/>
    <xf numFmtId="10" fontId="16" fillId="0" borderId="10" xfId="0" applyNumberFormat="1" applyFont="1" applyBorder="1"/>
    <xf numFmtId="0" fontId="0" fillId="0" borderId="20" xfId="0" applyBorder="1"/>
    <xf numFmtId="8" fontId="0" fillId="0" borderId="20" xfId="0" applyNumberFormat="1" applyBorder="1"/>
    <xf numFmtId="10" fontId="0" fillId="0" borderId="20" xfId="0" applyNumberFormat="1" applyBorder="1"/>
    <xf numFmtId="1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vertical="center"/>
    </xf>
    <xf numFmtId="8" fontId="16" fillId="0" borderId="10" xfId="0" applyNumberFormat="1" applyFont="1" applyBorder="1" applyAlignment="1">
      <alignment vertical="center"/>
    </xf>
    <xf numFmtId="10" fontId="16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 wrapText="1"/>
    </xf>
    <xf numFmtId="0" fontId="18" fillId="0" borderId="12" xfId="0" applyFont="1" applyBorder="1" applyAlignment="1">
      <alignment horizontal="right" vertical="center" wrapText="1"/>
    </xf>
    <xf numFmtId="0" fontId="18" fillId="0" borderId="13" xfId="0" applyFont="1" applyBorder="1" applyAlignment="1">
      <alignment horizontal="right" vertical="center" wrapText="1"/>
    </xf>
    <xf numFmtId="0" fontId="18" fillId="0" borderId="14" xfId="0" applyFont="1" applyBorder="1" applyAlignment="1">
      <alignment horizontal="right" vertical="center" wrapText="1"/>
    </xf>
    <xf numFmtId="0" fontId="18" fillId="0" borderId="15" xfId="0" applyFont="1" applyBorder="1" applyAlignment="1">
      <alignment horizontal="right" vertical="center" wrapText="1"/>
    </xf>
    <xf numFmtId="0" fontId="18" fillId="0" borderId="16" xfId="0" applyFont="1" applyBorder="1" applyAlignment="1">
      <alignment horizontal="right" vertical="center" wrapText="1"/>
    </xf>
    <xf numFmtId="0" fontId="18" fillId="0" borderId="17" xfId="0" applyFont="1" applyBorder="1" applyAlignment="1">
      <alignment horizontal="right" vertical="center" wrapText="1"/>
    </xf>
    <xf numFmtId="0" fontId="18" fillId="0" borderId="12" xfId="0" applyFont="1" applyBorder="1" applyAlignment="1">
      <alignment horizontal="right" vertical="center"/>
    </xf>
    <xf numFmtId="0" fontId="18" fillId="0" borderId="13" xfId="0" applyFont="1" applyBorder="1" applyAlignment="1">
      <alignment horizontal="right" vertical="center"/>
    </xf>
    <xf numFmtId="0" fontId="18" fillId="0" borderId="14" xfId="0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19" xfId="0" applyFont="1" applyBorder="1" applyAlignment="1">
      <alignment horizontal="right" vertical="center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top" wrapText="1"/>
    </xf>
    <xf numFmtId="0" fontId="16" fillId="34" borderId="10" xfId="0" applyFont="1" applyFill="1" applyBorder="1" applyAlignment="1">
      <alignment horizontal="center" vertical="center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21" xfId="0" applyFont="1" applyBorder="1" applyAlignment="1">
      <alignment horizontal="left" vertical="center"/>
    </xf>
  </cellXfs>
  <cellStyles count="42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62866</xdr:colOff>
      <xdr:row>0</xdr:row>
      <xdr:rowOff>0</xdr:rowOff>
    </xdr:from>
    <xdr:to>
      <xdr:col>4</xdr:col>
      <xdr:colOff>1775458</xdr:colOff>
      <xdr:row>3</xdr:row>
      <xdr:rowOff>180975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1A66405E-3F93-4D90-B716-CCD52CC259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56533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</sheetPr>
  <dimension ref="A1:I304"/>
  <sheetViews>
    <sheetView tabSelected="1" topLeftCell="D1" workbookViewId="0">
      <selection activeCell="B132" sqref="B1:C1048576"/>
    </sheetView>
  </sheetViews>
  <sheetFormatPr defaultRowHeight="15" x14ac:dyDescent="0.25"/>
  <cols>
    <col min="1" max="1" width="31.140625" hidden="1" customWidth="1"/>
    <col min="2" max="2" width="55.140625" hidden="1" customWidth="1"/>
    <col min="3" max="3" width="17" hidden="1" customWidth="1"/>
    <col min="4" max="4" width="14.7109375" customWidth="1"/>
    <col min="5" max="5" width="50.7109375" customWidth="1"/>
    <col min="6" max="6" width="10.7109375" style="2" customWidth="1"/>
    <col min="7" max="7" width="10.7109375" customWidth="1"/>
    <col min="8" max="8" width="10.7109375" style="6" customWidth="1"/>
    <col min="9" max="9" width="25.7109375" customWidth="1"/>
  </cols>
  <sheetData>
    <row r="1" spans="1:9" ht="15" customHeight="1" x14ac:dyDescent="0.25">
      <c r="E1" s="25" t="s">
        <v>15</v>
      </c>
      <c r="F1" s="26"/>
      <c r="G1" s="26"/>
      <c r="H1" s="26"/>
      <c r="I1" s="27"/>
    </row>
    <row r="2" spans="1:9" ht="15" customHeight="1" x14ac:dyDescent="0.25">
      <c r="E2" s="28"/>
      <c r="F2" s="29"/>
      <c r="G2" s="29"/>
      <c r="H2" s="29"/>
      <c r="I2" s="30"/>
    </row>
    <row r="3" spans="1:9" ht="15" customHeight="1" x14ac:dyDescent="0.25">
      <c r="E3" s="31" t="s">
        <v>28</v>
      </c>
      <c r="F3" s="32"/>
      <c r="G3" s="32"/>
      <c r="H3" s="32"/>
      <c r="I3" s="33"/>
    </row>
    <row r="4" spans="1:9" ht="15" customHeight="1" x14ac:dyDescent="0.25">
      <c r="E4" s="34"/>
      <c r="F4" s="35"/>
      <c r="G4" s="35"/>
      <c r="H4" s="35"/>
      <c r="I4" s="36"/>
    </row>
    <row r="5" spans="1:9" ht="15" customHeight="1" x14ac:dyDescent="0.25">
      <c r="D5" s="40" t="s">
        <v>17</v>
      </c>
      <c r="E5" s="40"/>
      <c r="F5" s="40"/>
      <c r="G5" s="40"/>
      <c r="H5" s="40"/>
      <c r="I5" s="40"/>
    </row>
    <row r="6" spans="1:9" x14ac:dyDescent="0.25">
      <c r="A6" s="7" t="s">
        <v>1</v>
      </c>
      <c r="B6" s="8"/>
      <c r="C6" s="7" t="s">
        <v>2</v>
      </c>
      <c r="D6" s="3" t="s">
        <v>3</v>
      </c>
      <c r="E6" s="3" t="s">
        <v>4</v>
      </c>
      <c r="F6" s="4" t="s">
        <v>8</v>
      </c>
      <c r="G6" s="3" t="s">
        <v>5</v>
      </c>
      <c r="H6" s="5" t="s">
        <v>6</v>
      </c>
      <c r="I6" s="5" t="s">
        <v>7</v>
      </c>
    </row>
    <row r="7" spans="1:9" x14ac:dyDescent="0.25">
      <c r="A7" s="1">
        <v>2802489002012</v>
      </c>
      <c r="B7" t="str">
        <f>"INNOVIS PHARMA AEBE"</f>
        <v>INNOVIS PHARMA AEBE</v>
      </c>
      <c r="C7" t="str">
        <f>"248900201"</f>
        <v>248900201</v>
      </c>
      <c r="D7" s="8" t="str">
        <f>"2802489002012"</f>
        <v>2802489002012</v>
      </c>
      <c r="E7" s="8" t="str">
        <f>"A-CNOTREN CAPS 30x20MG"</f>
        <v>A-CNOTREN CAPS 30x20MG</v>
      </c>
      <c r="F7" s="9">
        <v>6.07</v>
      </c>
      <c r="G7" s="8"/>
      <c r="H7" s="10">
        <v>0.05</v>
      </c>
      <c r="I7" s="8"/>
    </row>
    <row r="8" spans="1:9" x14ac:dyDescent="0.25">
      <c r="A8" s="1">
        <v>2800238301041</v>
      </c>
      <c r="B8" t="str">
        <f>"ADELCO-ΧΡΩΜΑΤΟΥΡΓΕΙΑ ΑΘΗΝΩΝ Α.Ε."</f>
        <v>ADELCO-ΧΡΩΜΑΤΟΥΡΓΕΙΑ ΑΘΗΝΩΝ Α.Ε.</v>
      </c>
      <c r="C8" t="str">
        <f>"023830104"</f>
        <v>023830104</v>
      </c>
      <c r="D8" s="8" t="str">
        <f>"2800238301041"</f>
        <v>2800238301041</v>
      </c>
      <c r="E8" s="8" t="str">
        <f>"ADELCORT TABL. 30x5MG"</f>
        <v>ADELCORT TABL. 30x5MG</v>
      </c>
      <c r="F8" s="9">
        <v>0.65</v>
      </c>
      <c r="G8" s="8"/>
      <c r="H8" s="10">
        <v>0.05</v>
      </c>
      <c r="I8" s="8"/>
    </row>
    <row r="9" spans="1:9" x14ac:dyDescent="0.25">
      <c r="A9" s="1">
        <v>5205152008828</v>
      </c>
      <c r="B9" t="str">
        <f>"INTERMED Ι. &amp; Ε.ΤΣΕΤΗ ΦΑΡΜΑΚΕΥΤΙΚΑ ΕΡΓΑΣΤΗΡΙΑ Α.Β.Ε.Ε."</f>
        <v>INTERMED Ι. &amp; Ε.ΤΣΕΤΗ ΦΑΡΜΑΚΕΥΤΙΚΑ ΕΡΓΑΣΤΗΡΙΑ Α.Β.Ε.Ε.</v>
      </c>
      <c r="C9" t="str">
        <f>"31999"</f>
        <v>31999</v>
      </c>
      <c r="D9" s="8" t="str">
        <f>"5205152008828"</f>
        <v>5205152008828</v>
      </c>
      <c r="E9" s="8" t="str">
        <f>"ALGOFREN ELLE VAG DOUCHE 1% 147 ML"</f>
        <v>ALGOFREN ELLE VAG DOUCHE 1% 147 ML</v>
      </c>
      <c r="F9" s="9">
        <v>4.2699999999999996</v>
      </c>
      <c r="G9" s="8"/>
      <c r="H9" s="10">
        <v>0.05</v>
      </c>
      <c r="I9" s="8"/>
    </row>
    <row r="10" spans="1:9" x14ac:dyDescent="0.25">
      <c r="A10" s="1">
        <v>2802076711020</v>
      </c>
      <c r="B10" t="str">
        <f>"INTERMED Ι. &amp; Ε.ΤΣΕΤΗ ΦΑΡΜΑΚΕΥΤΙΚΑ ΕΡΓΑΣΤΗΡΙΑ Α.Β.Ε.Ε."</f>
        <v>INTERMED Ι. &amp; Ε.ΤΣΕΤΗ ΦΑΡΜΑΚΕΥΤΙΚΑ ΕΡΓΑΣΤΗΡΙΑ Α.Β.Ε.Ε.</v>
      </c>
      <c r="C10" t="str">
        <f>"207671102"</f>
        <v>207671102</v>
      </c>
      <c r="D10" s="8" t="str">
        <f>"2802076711020"</f>
        <v>2802076711020</v>
      </c>
      <c r="E10" s="8" t="str">
        <f>"ALGOFREN F.C.TABL. 20x600MG"</f>
        <v>ALGOFREN F.C.TABL. 20x600MG</v>
      </c>
      <c r="F10" s="9">
        <v>1.22</v>
      </c>
      <c r="G10" s="8"/>
      <c r="H10" s="10">
        <v>0.05</v>
      </c>
      <c r="I10" s="8" t="s">
        <v>18</v>
      </c>
    </row>
    <row r="11" spans="1:9" x14ac:dyDescent="0.25">
      <c r="A11" s="1">
        <v>2802076706019</v>
      </c>
      <c r="B11" t="str">
        <f>"INTERMED Ι. &amp; Ε.ΤΣΕΤΗ ΦΑΡΜΑΚΕΥΤΙΚΑ ΕΡΓΑΣΤΗΡΙΑ Α.Β.Ε.Ε."</f>
        <v>INTERMED Ι. &amp; Ε.ΤΣΕΤΗ ΦΑΡΜΑΚΕΥΤΙΚΑ ΕΡΓΑΣΤΗΡΙΑ Α.Β.Ε.Ε.</v>
      </c>
      <c r="C11" t="str">
        <f>"2917"</f>
        <v>2917</v>
      </c>
      <c r="D11" s="8" t="str">
        <f>"2802076706019"</f>
        <v>2802076706019</v>
      </c>
      <c r="E11" s="8" t="str">
        <f>"ALGOFREN SIR.150ML 100MG/5ML"</f>
        <v>ALGOFREN SIR.150ML 100MG/5ML</v>
      </c>
      <c r="F11" s="9">
        <v>3.42</v>
      </c>
      <c r="G11" s="8"/>
      <c r="H11" s="10">
        <v>0.05</v>
      </c>
      <c r="I11" s="8" t="s">
        <v>19</v>
      </c>
    </row>
    <row r="12" spans="1:9" x14ac:dyDescent="0.25">
      <c r="A12" s="1">
        <v>2802076707016</v>
      </c>
      <c r="B12" t="str">
        <f>"INTERMED Ι. &amp; Ε.ΤΣΕΤΗ ΦΑΡΜΑΚΕΥΤΙΚΑ ΕΡΓΑΣΤΗΡΙΑ Α.Β.Ε.Ε."</f>
        <v>INTERMED Ι. &amp; Ε.ΤΣΕΤΗ ΦΑΡΜΑΚΕΥΤΙΚΑ ΕΡΓΑΣΤΗΡΙΑ Α.Β.Ε.Ε.</v>
      </c>
      <c r="C12" t="str">
        <f>"11141"</f>
        <v>11141</v>
      </c>
      <c r="D12" s="8" t="str">
        <f>"2802076707016"</f>
        <v>2802076707016</v>
      </c>
      <c r="E12" s="8" t="str">
        <f>"ALGOFREN SUPP 12x500MG"</f>
        <v>ALGOFREN SUPP 12x500MG</v>
      </c>
      <c r="F12" s="9">
        <v>1.72</v>
      </c>
      <c r="G12" s="8"/>
      <c r="H12" s="10">
        <v>0.05</v>
      </c>
      <c r="I12" s="8"/>
    </row>
    <row r="13" spans="1:9" x14ac:dyDescent="0.25">
      <c r="A13" s="1">
        <v>2803062901012</v>
      </c>
      <c r="B13" t="str">
        <f>"ΚΟΠΕΡ ΑΕ"</f>
        <v>ΚΟΠΕΡ ΑΕ</v>
      </c>
      <c r="C13" t="str">
        <f>"306290101"</f>
        <v>306290101</v>
      </c>
      <c r="D13" s="8" t="str">
        <f>"2803062901012"</f>
        <v>2803062901012</v>
      </c>
      <c r="E13" s="8" t="str">
        <f>"ALOPATAN COLL.1MG/5 ML"</f>
        <v>ALOPATAN COLL.1MG/5 ML</v>
      </c>
      <c r="F13" s="9">
        <v>4.2699999999999996</v>
      </c>
      <c r="G13" s="8"/>
      <c r="H13" s="10">
        <v>0.05</v>
      </c>
      <c r="I13" s="8"/>
    </row>
    <row r="14" spans="1:9" x14ac:dyDescent="0.25">
      <c r="A14" s="1">
        <v>2802616902024</v>
      </c>
      <c r="B14" t="str">
        <f>"LIBYTEC ΦΑΡΜΑΚΕΥΤΙΚΗ A.E."</f>
        <v>LIBYTEC ΦΑΡΜΑΚΕΥΤΙΚΗ A.E.</v>
      </c>
      <c r="C14" t="str">
        <f>"261690202"</f>
        <v>261690202</v>
      </c>
      <c r="D14" s="8" t="str">
        <f>"2802616902024"</f>
        <v>2802616902024</v>
      </c>
      <c r="E14" s="8" t="str">
        <f>"ALTORAM F.C.TABL. 28x20MG"</f>
        <v>ALTORAM F.C.TABL. 28x20MG</v>
      </c>
      <c r="F14" s="9">
        <v>5.81</v>
      </c>
      <c r="G14" s="8"/>
      <c r="H14" s="10">
        <v>0.05</v>
      </c>
      <c r="I14" s="8"/>
    </row>
    <row r="15" spans="1:9" x14ac:dyDescent="0.25">
      <c r="A15" s="1">
        <v>2802572502023</v>
      </c>
      <c r="B15" t="str">
        <f>"VIVAX ΦΑΡΜΑΚΕΥΤΙΚΗ ΕΠΕ"</f>
        <v>VIVAX ΦΑΡΜΑΚΕΥΤΙΚΗ ΕΠΕ</v>
      </c>
      <c r="C15" t="str">
        <f>"257250202"</f>
        <v>257250202</v>
      </c>
      <c r="D15" s="8" t="str">
        <f>"2802572502023"</f>
        <v>2802572502023</v>
      </c>
      <c r="E15" s="8" t="str">
        <f>"AMLOPRESS CAPS 30x10MG"</f>
        <v>AMLOPRESS CAPS 30x10MG</v>
      </c>
      <c r="F15" s="9">
        <v>5.38</v>
      </c>
      <c r="G15" s="8"/>
      <c r="H15" s="10">
        <v>0.05</v>
      </c>
      <c r="I15" s="8"/>
    </row>
    <row r="16" spans="1:9" x14ac:dyDescent="0.25">
      <c r="A16" s="1">
        <v>2802572501026</v>
      </c>
      <c r="B16" t="str">
        <f>"VIVAX ΦΑΡΜΑΚΕΥΤΙΚΗ ΕΠΕ"</f>
        <v>VIVAX ΦΑΡΜΑΚΕΥΤΙΚΗ ΕΠΕ</v>
      </c>
      <c r="C16" t="str">
        <f>"257250102"</f>
        <v>257250102</v>
      </c>
      <c r="D16" s="8" t="str">
        <f>"2802572501026"</f>
        <v>2802572501026</v>
      </c>
      <c r="E16" s="8" t="str">
        <f>"AMLOPRESS CAPS 30x5MG"</f>
        <v>AMLOPRESS CAPS 30x5MG</v>
      </c>
      <c r="F16" s="9">
        <v>3.82</v>
      </c>
      <c r="G16" s="8"/>
      <c r="H16" s="10">
        <v>0.05</v>
      </c>
      <c r="I16" s="8"/>
    </row>
    <row r="17" spans="1:9" x14ac:dyDescent="0.25">
      <c r="A17" s="1">
        <v>2802545503026</v>
      </c>
      <c r="B17" t="str">
        <f>"HELP A.B.E.E"</f>
        <v>HELP A.B.E.E</v>
      </c>
      <c r="C17" t="str">
        <f>"254550302"</f>
        <v>254550302</v>
      </c>
      <c r="D17" s="8" t="str">
        <f>"2802545503026"</f>
        <v>2802545503026</v>
      </c>
      <c r="E17" s="8" t="str">
        <f>"ANTICHOL F.C.TABL. 30x20MG"</f>
        <v>ANTICHOL F.C.TABL. 30x20MG</v>
      </c>
      <c r="F17" s="9">
        <v>5.28</v>
      </c>
      <c r="G17" s="8"/>
      <c r="H17" s="10">
        <v>0.04</v>
      </c>
      <c r="I17" s="8"/>
    </row>
    <row r="18" spans="1:9" x14ac:dyDescent="0.25">
      <c r="A18" s="1">
        <v>2802545504023</v>
      </c>
      <c r="B18" t="str">
        <f>"HELP A.B.E.E"</f>
        <v>HELP A.B.E.E</v>
      </c>
      <c r="C18" t="str">
        <f>"051751"</f>
        <v>051751</v>
      </c>
      <c r="D18" s="8" t="str">
        <f>"2802545504023"</f>
        <v>2802545504023</v>
      </c>
      <c r="E18" s="8" t="str">
        <f>"ANTICHOL F.C.TABL. 30x40MG"</f>
        <v>ANTICHOL F.C.TABL. 30x40MG</v>
      </c>
      <c r="F18" s="9">
        <v>6.16</v>
      </c>
      <c r="G18" s="8"/>
      <c r="H18" s="10">
        <v>0.04</v>
      </c>
      <c r="I18" s="8"/>
    </row>
    <row r="19" spans="1:9" x14ac:dyDescent="0.25">
      <c r="A19" s="1">
        <v>2803085502029</v>
      </c>
      <c r="B19" t="str">
        <f>"GENEPHARM A.E."</f>
        <v>GENEPHARM A.E.</v>
      </c>
      <c r="C19" t="str">
        <f>"308550202"</f>
        <v>308550202</v>
      </c>
      <c r="D19" s="8" t="str">
        <f>"2803085502029"</f>
        <v>2803085502029</v>
      </c>
      <c r="E19" s="8" t="str">
        <f>"ARIPIPRAZOLE/GENEPHARM TABL.28x10MG"</f>
        <v>ARIPIPRAZOLE/GENEPHARM TABL.28x10MG</v>
      </c>
      <c r="F19" s="9">
        <v>14.38</v>
      </c>
      <c r="G19" s="8"/>
      <c r="H19" s="10">
        <v>0.05</v>
      </c>
      <c r="I19" s="8"/>
    </row>
    <row r="20" spans="1:9" x14ac:dyDescent="0.25">
      <c r="A20" s="1">
        <v>2803085503026</v>
      </c>
      <c r="B20" t="str">
        <f>"GENEPHARM A.E."</f>
        <v>GENEPHARM A.E.</v>
      </c>
      <c r="C20" t="str">
        <f>"308550302"</f>
        <v>308550302</v>
      </c>
      <c r="D20" s="8" t="str">
        <f>"2803085503026"</f>
        <v>2803085503026</v>
      </c>
      <c r="E20" s="8" t="str">
        <f>"ARIPIPRAZOLE/GENEPHARM TABL.28x15MG"</f>
        <v>ARIPIPRAZOLE/GENEPHARM TABL.28x15MG</v>
      </c>
      <c r="F20" s="9">
        <v>14.87</v>
      </c>
      <c r="G20" s="8"/>
      <c r="H20" s="10">
        <v>0.05</v>
      </c>
      <c r="I20" s="8"/>
    </row>
    <row r="21" spans="1:9" x14ac:dyDescent="0.25">
      <c r="A21" s="1">
        <v>2803085504023</v>
      </c>
      <c r="B21" t="str">
        <f>"GENEPHARM A.E."</f>
        <v>GENEPHARM A.E.</v>
      </c>
      <c r="C21" t="str">
        <f>"308550402"</f>
        <v>308550402</v>
      </c>
      <c r="D21" s="8" t="str">
        <f>"2803085504023"</f>
        <v>2803085504023</v>
      </c>
      <c r="E21" s="8" t="str">
        <f>"ARIPIPRAZOLE/GENEPHARM TABL.28x30MG"</f>
        <v>ARIPIPRAZOLE/GENEPHARM TABL.28x30MG</v>
      </c>
      <c r="F21" s="9">
        <v>28.74</v>
      </c>
      <c r="G21" s="8"/>
      <c r="H21" s="10">
        <v>0.05</v>
      </c>
      <c r="I21" s="8"/>
    </row>
    <row r="22" spans="1:9" x14ac:dyDescent="0.25">
      <c r="A22" s="1">
        <v>2801980602011</v>
      </c>
      <c r="B22" t="str">
        <f>"ANFARM ΕΛΛΑΣ ΑΕ"</f>
        <v>ANFARM ΕΛΛΑΣ ΑΕ</v>
      </c>
      <c r="C22" t="str">
        <f>"198060201"</f>
        <v>198060201</v>
      </c>
      <c r="D22" s="8" t="str">
        <f>"2801980602011"</f>
        <v>2801980602011</v>
      </c>
      <c r="E22" s="8" t="str">
        <f>"ARISTIN-C F.C.TABL. 10x500MG"</f>
        <v>ARISTIN-C F.C.TABL. 10x500MG</v>
      </c>
      <c r="F22" s="9">
        <v>3.24</v>
      </c>
      <c r="G22" s="8"/>
      <c r="H22" s="10">
        <v>0.05</v>
      </c>
      <c r="I22" s="8"/>
    </row>
    <row r="23" spans="1:9" x14ac:dyDescent="0.25">
      <c r="A23" s="1">
        <v>2802611301020</v>
      </c>
      <c r="B23" t="str">
        <f>"S.J.A. PHARM LTD"</f>
        <v>S.J.A. PHARM LTD</v>
      </c>
      <c r="C23" t="str">
        <f>"261130102"</f>
        <v>261130102</v>
      </c>
      <c r="D23" s="8" t="str">
        <f>"2802611301020"</f>
        <v>2802611301020</v>
      </c>
      <c r="E23" s="8" t="str">
        <f>"ASSOPROL GR CAPS 28x20MG"</f>
        <v>ASSOPROL GR CAPS 28x20MG</v>
      </c>
      <c r="F23" s="9">
        <v>5.97</v>
      </c>
      <c r="G23" s="8"/>
      <c r="H23" s="10">
        <v>0.05</v>
      </c>
      <c r="I23" s="8"/>
    </row>
    <row r="24" spans="1:9" x14ac:dyDescent="0.25">
      <c r="A24" s="1">
        <v>2802444703015</v>
      </c>
      <c r="B24" t="str">
        <f>"INNOVIS PHARMA AEBE"</f>
        <v>INNOVIS PHARMA AEBE</v>
      </c>
      <c r="C24" t="str">
        <f>"244470301"</f>
        <v>244470301</v>
      </c>
      <c r="D24" s="8" t="str">
        <f>"2802444703015"</f>
        <v>2802444703015</v>
      </c>
      <c r="E24" s="8" t="str">
        <f>"AURID NASPR.SUSP. 10MLx100MCG/DOSE (200DOSES)"</f>
        <v>AURID NASPR.SUSP. 10MLx100MCG/DOSE (200DOSES)</v>
      </c>
      <c r="F24" s="9">
        <v>7.11</v>
      </c>
      <c r="G24" s="8"/>
      <c r="H24" s="10">
        <v>0.05</v>
      </c>
      <c r="I24" s="8"/>
    </row>
    <row r="25" spans="1:9" x14ac:dyDescent="0.25">
      <c r="A25" s="1">
        <v>2802995801031</v>
      </c>
      <c r="B25" t="str">
        <f>"FARMASYN AE"</f>
        <v>FARMASYN AE</v>
      </c>
      <c r="C25" t="str">
        <f>"2995801031"</f>
        <v>2995801031</v>
      </c>
      <c r="D25" s="8" t="str">
        <f>"2802995801031"</f>
        <v>2802995801031</v>
      </c>
      <c r="E25" s="8" t="str">
        <f>"AZATHIOPRINE/FARMASYN F.C.TABL.100x50MG"</f>
        <v>AZATHIOPRINE/FARMASYN F.C.TABL.100x50MG</v>
      </c>
      <c r="F25" s="9">
        <v>13.46</v>
      </c>
      <c r="G25" s="8"/>
      <c r="H25" s="10">
        <v>0.05</v>
      </c>
      <c r="I25" s="8"/>
    </row>
    <row r="26" spans="1:9" x14ac:dyDescent="0.25">
      <c r="A26" s="1">
        <v>2802605701010</v>
      </c>
      <c r="B26" t="str">
        <f>"HELP A.B.E.E"</f>
        <v>HELP A.B.E.E</v>
      </c>
      <c r="C26" t="str">
        <f>"4039"</f>
        <v>4039</v>
      </c>
      <c r="D26" s="8" t="str">
        <f>"2802605701010"</f>
        <v>2802605701010</v>
      </c>
      <c r="E26" s="8" t="str">
        <f>"BACTROCINE OINTMENT 2% 15GR"</f>
        <v>BACTROCINE OINTMENT 2% 15GR</v>
      </c>
      <c r="F26" s="9">
        <v>2.15</v>
      </c>
      <c r="G26" s="8"/>
      <c r="H26" s="10">
        <v>0.04</v>
      </c>
      <c r="I26" s="8"/>
    </row>
    <row r="27" spans="1:9" x14ac:dyDescent="0.25">
      <c r="A27" s="1">
        <v>2802065001064</v>
      </c>
      <c r="B27" t="str">
        <f>"INNOVIS PHARMA AEBE"</f>
        <v>INNOVIS PHARMA AEBE</v>
      </c>
      <c r="C27" t="str">
        <f>"206500106"</f>
        <v>206500106</v>
      </c>
      <c r="D27" s="8" t="str">
        <f>"2802065001064"</f>
        <v>2802065001064</v>
      </c>
      <c r="E27" s="8" t="str">
        <f>"BELIFAX CAPS 30x20MG"</f>
        <v>BELIFAX CAPS 30x20MG</v>
      </c>
      <c r="F27" s="9">
        <v>6.4</v>
      </c>
      <c r="G27" s="8"/>
      <c r="H27" s="10">
        <v>0.05</v>
      </c>
      <c r="I27" s="8"/>
    </row>
    <row r="28" spans="1:9" x14ac:dyDescent="0.25">
      <c r="A28" s="1">
        <v>2802749001021</v>
      </c>
      <c r="B28" t="str">
        <f>"BENNETT ΦΑΡΜΑΚΕΥΤΙΚΗ Α.Ε"</f>
        <v>BENNETT ΦΑΡΜΑΚΕΥΤΙΚΗ Α.Ε</v>
      </c>
      <c r="C28" t="str">
        <f>"274900102"</f>
        <v>274900102</v>
      </c>
      <c r="D28" s="8" t="str">
        <f>"2802749001021"</f>
        <v>2802749001021</v>
      </c>
      <c r="E28" s="8" t="str">
        <f>"BENZOL GR CAPS 28x20MG (OMEPRAZOLE)"</f>
        <v>BENZOL GR CAPS 28x20MG (OMEPRAZOLE)</v>
      </c>
      <c r="F28" s="9">
        <v>5.97</v>
      </c>
      <c r="G28" s="8"/>
      <c r="H28" s="10">
        <v>0.05</v>
      </c>
      <c r="I28" s="8"/>
    </row>
    <row r="29" spans="1:9" x14ac:dyDescent="0.25">
      <c r="A29" s="1">
        <v>2802516801014</v>
      </c>
      <c r="B29" t="str">
        <f>"S.J.A. PHARM LTD"</f>
        <v>S.J.A. PHARM LTD</v>
      </c>
      <c r="C29" t="str">
        <f>"251680101"</f>
        <v>251680101</v>
      </c>
      <c r="D29" s="8" t="str">
        <f>"2802516801014"</f>
        <v>2802516801014</v>
      </c>
      <c r="E29" s="8" t="str">
        <f>"BETACORT CREAM (2,0+0,1)% 15GR"</f>
        <v>BETACORT CREAM (2,0+0,1)% 15GR</v>
      </c>
      <c r="F29" s="9">
        <v>2.48</v>
      </c>
      <c r="G29" s="8"/>
      <c r="H29" s="10">
        <v>0.05</v>
      </c>
      <c r="I29" s="8"/>
    </row>
    <row r="30" spans="1:9" x14ac:dyDescent="0.25">
      <c r="A30" s="1">
        <v>2802516801021</v>
      </c>
      <c r="B30" t="str">
        <f>"S.J.A. PHARM LTD"</f>
        <v>S.J.A. PHARM LTD</v>
      </c>
      <c r="C30" t="str">
        <f>"251680102"</f>
        <v>251680102</v>
      </c>
      <c r="D30" s="8" t="str">
        <f>"2802516801021"</f>
        <v>2802516801021</v>
      </c>
      <c r="E30" s="8" t="str">
        <f>"BETACORT CREAM (2,0+0,1)% 30GR"</f>
        <v>BETACORT CREAM (2,0+0,1)% 30GR</v>
      </c>
      <c r="F30" s="9">
        <v>4.91</v>
      </c>
      <c r="G30" s="8"/>
      <c r="H30" s="10">
        <v>0.05</v>
      </c>
      <c r="I30" s="8"/>
    </row>
    <row r="31" spans="1:9" s="20" customFormat="1" ht="30" customHeight="1" x14ac:dyDescent="0.25">
      <c r="A31" s="19"/>
      <c r="B31" s="20" t="s">
        <v>0</v>
      </c>
      <c r="C31" s="20" t="s">
        <v>29</v>
      </c>
      <c r="D31" s="21" t="s">
        <v>30</v>
      </c>
      <c r="E31" s="21" t="s">
        <v>31</v>
      </c>
      <c r="F31" s="22">
        <v>5.14</v>
      </c>
      <c r="G31" s="21"/>
      <c r="H31" s="23">
        <v>0.05</v>
      </c>
      <c r="I31" s="24" t="s">
        <v>32</v>
      </c>
    </row>
    <row r="32" spans="1:9" x14ac:dyDescent="0.25">
      <c r="A32" s="1">
        <v>2802877502018</v>
      </c>
      <c r="B32" t="str">
        <f>"MENARINI HELLAS AE"</f>
        <v>MENARINI HELLAS AE</v>
      </c>
      <c r="C32" t="str">
        <f>"287750201"</f>
        <v>287750201</v>
      </c>
      <c r="D32" s="8" t="str">
        <f>"2802877502018"</f>
        <v>2802877502018</v>
      </c>
      <c r="E32" s="8" t="str">
        <f>"BILAZ OR.DISP.TABL. 10x10MG"</f>
        <v>BILAZ OR.DISP.TABL. 10x10MG</v>
      </c>
      <c r="F32" s="9">
        <v>2.59</v>
      </c>
      <c r="G32" s="8"/>
      <c r="H32" s="10">
        <v>0.05</v>
      </c>
      <c r="I32" s="8"/>
    </row>
    <row r="33" spans="1:9" x14ac:dyDescent="0.25">
      <c r="A33" s="1">
        <v>2802877502025</v>
      </c>
      <c r="B33" t="str">
        <f>"MENARINI HELLAS AE"</f>
        <v>MENARINI HELLAS AE</v>
      </c>
      <c r="C33" t="str">
        <f>"287750202"</f>
        <v>287750202</v>
      </c>
      <c r="D33" s="8" t="str">
        <f>"2802877502025"</f>
        <v>2802877502025</v>
      </c>
      <c r="E33" s="8" t="str">
        <f>"BILAZ OR.DISP.TABL. 20x10MG"</f>
        <v>BILAZ OR.DISP.TABL. 20x10MG</v>
      </c>
      <c r="F33" s="9">
        <v>4.8499999999999996</v>
      </c>
      <c r="G33" s="8"/>
      <c r="H33" s="10">
        <v>0.05</v>
      </c>
      <c r="I33" s="8"/>
    </row>
    <row r="34" spans="1:9" x14ac:dyDescent="0.25">
      <c r="A34" s="1">
        <v>2802877503015</v>
      </c>
      <c r="B34" t="str">
        <f>"MENARINI HELLAS AE"</f>
        <v>MENARINI HELLAS AE</v>
      </c>
      <c r="C34" t="str">
        <f>"287750301"</f>
        <v>287750301</v>
      </c>
      <c r="D34" s="8" t="str">
        <f>"2802877503015"</f>
        <v>2802877503015</v>
      </c>
      <c r="E34" s="8" t="str">
        <f>"BILAZ ORAL SOLUTION 2,5MG/ML 120ML"</f>
        <v>BILAZ ORAL SOLUTION 2,5MG/ML 120ML</v>
      </c>
      <c r="F34" s="9">
        <v>5.59</v>
      </c>
      <c r="G34" s="8"/>
      <c r="H34" s="10">
        <v>0.05</v>
      </c>
      <c r="I34" s="8"/>
    </row>
    <row r="35" spans="1:9" x14ac:dyDescent="0.25">
      <c r="A35" s="1">
        <v>2802416602018</v>
      </c>
      <c r="B35" t="str">
        <f>"HELP A.B.E.E"</f>
        <v>HELP A.B.E.E</v>
      </c>
      <c r="C35" t="str">
        <f>"241660201"</f>
        <v>241660201</v>
      </c>
      <c r="D35" s="8" t="str">
        <f>"2802416602018"</f>
        <v>2802416602018</v>
      </c>
      <c r="E35" s="8" t="str">
        <f>"BIOSONIDE NASAL SPRAY 100MCG 200DOS"</f>
        <v>BIOSONIDE NASAL SPRAY 100MCG 200DOS</v>
      </c>
      <c r="F35" s="9">
        <v>7.11</v>
      </c>
      <c r="G35" s="8"/>
      <c r="H35" s="10">
        <v>0.04</v>
      </c>
      <c r="I35" s="8"/>
    </row>
    <row r="36" spans="1:9" x14ac:dyDescent="0.25">
      <c r="A36" s="1">
        <v>2803126701039</v>
      </c>
      <c r="B36" t="str">
        <f>"GENEPHARM A.E."</f>
        <v>GENEPHARM A.E.</v>
      </c>
      <c r="C36" t="str">
        <f>"312670103"</f>
        <v>312670103</v>
      </c>
      <c r="D36" s="8" t="str">
        <f>"2803126701039"</f>
        <v>2803126701039</v>
      </c>
      <c r="E36" s="8" t="str">
        <f>"BRAVIGO F.C.TABL.56x5MG (4x14) IVABRADINE"</f>
        <v>BRAVIGO F.C.TABL.56x5MG (4x14) IVABRADINE</v>
      </c>
      <c r="F36" s="9">
        <v>13.41</v>
      </c>
      <c r="G36" s="8"/>
      <c r="H36" s="10">
        <v>0.05</v>
      </c>
      <c r="I36" s="8"/>
    </row>
    <row r="37" spans="1:9" x14ac:dyDescent="0.25">
      <c r="A37" s="1">
        <v>2803126702036</v>
      </c>
      <c r="B37" t="str">
        <f>"GENEPHARM A.E."</f>
        <v>GENEPHARM A.E.</v>
      </c>
      <c r="C37" t="str">
        <f>"312670203"</f>
        <v>312670203</v>
      </c>
      <c r="D37" s="8" t="str">
        <f>"2803126702036"</f>
        <v>2803126702036</v>
      </c>
      <c r="E37" s="8" t="str">
        <f>"BRAVIGO F.C.TABL.56x7,5MG (4x14) IVABRADINE"</f>
        <v>BRAVIGO F.C.TABL.56x7,5MG (4x14) IVABRADINE</v>
      </c>
      <c r="F37" s="9">
        <v>15.13</v>
      </c>
      <c r="G37" s="8"/>
      <c r="H37" s="10">
        <v>0.05</v>
      </c>
      <c r="I37" s="8"/>
    </row>
    <row r="38" spans="1:9" x14ac:dyDescent="0.25">
      <c r="A38" s="1">
        <v>2803156202056</v>
      </c>
      <c r="B38" t="str">
        <f>"DEMO  ABEE"</f>
        <v>DEMO  ABEE</v>
      </c>
      <c r="C38" t="str">
        <f>"315620205"</f>
        <v>315620205</v>
      </c>
      <c r="D38" s="8" t="str">
        <f>"2803156202056"</f>
        <v>2803156202056</v>
      </c>
      <c r="E38" s="8" t="str">
        <f>"BUXODEM F.C.TABL. 30x120MG"</f>
        <v>BUXODEM F.C.TABL. 30x120MG</v>
      </c>
      <c r="F38" s="9">
        <v>12.97</v>
      </c>
      <c r="G38" s="8"/>
      <c r="H38" s="10">
        <v>0.05</v>
      </c>
      <c r="I38" s="8"/>
    </row>
    <row r="39" spans="1:9" x14ac:dyDescent="0.25">
      <c r="A39" s="1">
        <v>2803156201059</v>
      </c>
      <c r="B39" t="str">
        <f>"DEMO  ABEE"</f>
        <v>DEMO  ABEE</v>
      </c>
      <c r="C39" t="str">
        <f>"315620105"</f>
        <v>315620105</v>
      </c>
      <c r="D39" s="8" t="str">
        <f>"2803156201059"</f>
        <v>2803156201059</v>
      </c>
      <c r="E39" s="8" t="str">
        <f>"BUXODEM F.C.TABL. 30x80MG"</f>
        <v>BUXODEM F.C.TABL. 30x80MG</v>
      </c>
      <c r="F39" s="9">
        <v>12.66</v>
      </c>
      <c r="G39" s="8"/>
      <c r="H39" s="10">
        <v>0.05</v>
      </c>
      <c r="I39" s="8"/>
    </row>
    <row r="40" spans="1:9" x14ac:dyDescent="0.25">
      <c r="A40" s="1">
        <v>2803224904011</v>
      </c>
      <c r="B40" t="str">
        <f>"INNOVIS PHARMA AEBE"</f>
        <v>INNOVIS PHARMA AEBE</v>
      </c>
      <c r="C40" t="str">
        <f>"322490401"</f>
        <v>322490401</v>
      </c>
      <c r="D40" s="8" t="str">
        <f>"2803224904011"</f>
        <v>2803224904011</v>
      </c>
      <c r="E40" s="8" t="str">
        <f>"CALCIFENOV F.C.TABL. 1x30000IU"</f>
        <v>CALCIFENOV F.C.TABL. 1x30000IU</v>
      </c>
      <c r="F40" s="9">
        <v>3.43</v>
      </c>
      <c r="G40" s="8"/>
      <c r="H40" s="10">
        <v>0.05</v>
      </c>
      <c r="I40" s="8"/>
    </row>
    <row r="41" spans="1:9" x14ac:dyDescent="0.25">
      <c r="A41" s="1">
        <v>2803224904028</v>
      </c>
      <c r="B41" t="str">
        <f>"INNOVIS PHARMA AEBE"</f>
        <v>INNOVIS PHARMA AEBE</v>
      </c>
      <c r="C41" t="str">
        <f>"322490402"</f>
        <v>322490402</v>
      </c>
      <c r="D41" s="8" t="str">
        <f>"2803224904028"</f>
        <v>2803224904028</v>
      </c>
      <c r="E41" s="8" t="str">
        <f>"CALCIFENOV F.C.TABL. 3x30000IU"</f>
        <v>CALCIFENOV F.C.TABL. 3x30000IU</v>
      </c>
      <c r="F41" s="9">
        <v>9.56</v>
      </c>
      <c r="G41" s="8"/>
      <c r="H41" s="10">
        <v>0.05</v>
      </c>
      <c r="I41" s="8"/>
    </row>
    <row r="42" spans="1:9" x14ac:dyDescent="0.25">
      <c r="A42" s="1">
        <v>2803224903014</v>
      </c>
      <c r="B42" t="str">
        <f>"INNOVIS PHARMA AEBE"</f>
        <v>INNOVIS PHARMA AEBE</v>
      </c>
      <c r="C42" t="str">
        <f>"322490301"</f>
        <v>322490301</v>
      </c>
      <c r="D42" s="8" t="str">
        <f>"2803224903014"</f>
        <v>2803224903014</v>
      </c>
      <c r="E42" s="8" t="str">
        <f>"CALCIFENOV F.C.TABL. 4x7000IU"</f>
        <v>CALCIFENOV F.C.TABL. 4x7000IU</v>
      </c>
      <c r="F42" s="9">
        <v>3.16</v>
      </c>
      <c r="G42" s="8"/>
      <c r="H42" s="10">
        <v>0.05</v>
      </c>
      <c r="I42" s="8"/>
    </row>
    <row r="43" spans="1:9" x14ac:dyDescent="0.25">
      <c r="A43" s="1">
        <v>2803033103025</v>
      </c>
      <c r="B43" t="str">
        <f>"LAVIPHARM ACTIVE SERVICES MON. A.E.E."</f>
        <v>LAVIPHARM ACTIVE SERVICES MON. A.E.E.</v>
      </c>
      <c r="C43" t="str">
        <f>"303310302"</f>
        <v>303310302</v>
      </c>
      <c r="D43" s="8" t="str">
        <f>"2803033103025"</f>
        <v>2803033103025</v>
      </c>
      <c r="E43" s="8" t="str">
        <f>"CARAMLO TAB(16+10)MG/TAB BTX28"</f>
        <v>CARAMLO TAB(16+10)MG/TAB BTX28</v>
      </c>
      <c r="F43" s="9">
        <v>7.18</v>
      </c>
      <c r="G43" s="8"/>
      <c r="H43" s="10">
        <v>0.03</v>
      </c>
      <c r="I43" s="8"/>
    </row>
    <row r="44" spans="1:9" x14ac:dyDescent="0.25">
      <c r="A44" s="1">
        <v>2803033101021</v>
      </c>
      <c r="B44" t="str">
        <f>"LAVIPHARM ACTIVE SERVICES MON. A.E.E."</f>
        <v>LAVIPHARM ACTIVE SERVICES MON. A.E.E.</v>
      </c>
      <c r="C44" t="str">
        <f>"303310102"</f>
        <v>303310102</v>
      </c>
      <c r="D44" s="8" t="str">
        <f>"2803033101021"</f>
        <v>2803033101021</v>
      </c>
      <c r="E44" s="8" t="str">
        <f>"CARAMLO TAB(8+5)MG/TAB BTX28"</f>
        <v>CARAMLO TAB(8+5)MG/TAB BTX28</v>
      </c>
      <c r="F44" s="9">
        <v>4.83</v>
      </c>
      <c r="G44" s="8"/>
      <c r="H44" s="10">
        <v>0.03</v>
      </c>
      <c r="I44" s="8"/>
    </row>
    <row r="45" spans="1:9" x14ac:dyDescent="0.25">
      <c r="A45" s="1">
        <v>2802699401056</v>
      </c>
      <c r="B45" t="str">
        <f>"VIVAX ΦΑΡΜΑΚΕΥΤΙΚΗ ΕΠΕ"</f>
        <v>VIVAX ΦΑΡΜΑΚΕΥΤΙΚΗ ΕΠΕ</v>
      </c>
      <c r="C45" t="str">
        <f>"269940105"</f>
        <v>269940105</v>
      </c>
      <c r="D45" s="8" t="str">
        <f>"2802699401056"</f>
        <v>2802699401056</v>
      </c>
      <c r="E45" s="8" t="str">
        <f>"CARD-OK F.C.TABL. 30x20MG"</f>
        <v>CARD-OK F.C.TABL. 30x20MG</v>
      </c>
      <c r="F45" s="9">
        <v>6.23</v>
      </c>
      <c r="G45" s="8"/>
      <c r="H45" s="10">
        <v>0.05</v>
      </c>
      <c r="I45" s="8"/>
    </row>
    <row r="46" spans="1:9" x14ac:dyDescent="0.25">
      <c r="A46" s="1">
        <v>2802699402053</v>
      </c>
      <c r="B46" t="str">
        <f>"VIVAX ΦΑΡΜΑΚΕΥΤΙΚΗ ΕΠΕ"</f>
        <v>VIVAX ΦΑΡΜΑΚΕΥΤΙΚΗ ΕΠΕ</v>
      </c>
      <c r="C46" t="str">
        <f>"269940205"</f>
        <v>269940205</v>
      </c>
      <c r="D46" s="8" t="str">
        <f>"2802699402053"</f>
        <v>2802699402053</v>
      </c>
      <c r="E46" s="8" t="str">
        <f>"CARD-OK F.C.TABL. 30x40MG"</f>
        <v>CARD-OK F.C.TABL. 30x40MG</v>
      </c>
      <c r="F46" s="9">
        <v>6.86</v>
      </c>
      <c r="G46" s="8"/>
      <c r="H46" s="10">
        <v>0.05</v>
      </c>
      <c r="I46" s="8"/>
    </row>
    <row r="47" spans="1:9" x14ac:dyDescent="0.25">
      <c r="A47" s="1">
        <v>2803129602012</v>
      </c>
      <c r="B47" t="str">
        <f>"DEMO  ABEE"</f>
        <v>DEMO  ABEE</v>
      </c>
      <c r="C47" t="str">
        <f>"312960201"</f>
        <v>312960201</v>
      </c>
      <c r="D47" s="8" t="str">
        <f>"2803129602012"</f>
        <v>2803129602012</v>
      </c>
      <c r="E47" s="8" t="str">
        <f>"CECURE F.C.TABL. 30x10MG"</f>
        <v>CECURE F.C.TABL. 30x10MG</v>
      </c>
      <c r="F47" s="9">
        <v>10.3</v>
      </c>
      <c r="G47" s="8"/>
      <c r="H47" s="10">
        <v>0.05</v>
      </c>
      <c r="I47" s="8"/>
    </row>
    <row r="48" spans="1:9" x14ac:dyDescent="0.25">
      <c r="A48" s="1">
        <v>2803129601015</v>
      </c>
      <c r="B48" t="str">
        <f>"DEMO  ABEE"</f>
        <v>DEMO  ABEE</v>
      </c>
      <c r="C48" t="str">
        <f>"312960101"</f>
        <v>312960101</v>
      </c>
      <c r="D48" s="8" t="str">
        <f>"2803129601015"</f>
        <v>2803129601015</v>
      </c>
      <c r="E48" s="8" t="str">
        <f>"CECURE F.C.TABL. 30x5MG"</f>
        <v>CECURE F.C.TABL. 30x5MG</v>
      </c>
      <c r="F48" s="9">
        <v>8.52</v>
      </c>
      <c r="G48" s="8"/>
      <c r="H48" s="10">
        <v>0.05</v>
      </c>
      <c r="I48" s="8"/>
    </row>
    <row r="49" spans="1:9" s="12" customFormat="1" x14ac:dyDescent="0.25">
      <c r="A49" s="11">
        <v>2802589103015</v>
      </c>
      <c r="B49" s="12" t="str">
        <f>"ΦΑΡΜΑΣΕΡΒ-ΛΙΛΛΥ Α.Ε.Β.Ε"</f>
        <v>ΦΑΡΜΑΣΕΡΒ-ΛΙΛΛΥ Α.Ε.Β.Ε</v>
      </c>
      <c r="C49" s="12" t="str">
        <f>"258910301"</f>
        <v>258910301</v>
      </c>
      <c r="D49" s="13" t="str">
        <f>"2802589103015"</f>
        <v>2802589103015</v>
      </c>
      <c r="E49" s="13" t="str">
        <f>"CIALIS F.C.TABL. 28x2,5MG"</f>
        <v>CIALIS F.C.TABL. 28x2,5MG</v>
      </c>
      <c r="F49" s="14">
        <v>62.81</v>
      </c>
      <c r="G49" s="13"/>
      <c r="H49" s="15">
        <v>0.05</v>
      </c>
      <c r="I49" s="37" t="s">
        <v>9</v>
      </c>
    </row>
    <row r="50" spans="1:9" s="12" customFormat="1" x14ac:dyDescent="0.25">
      <c r="A50" s="11">
        <v>2802589104029</v>
      </c>
      <c r="B50" s="12" t="str">
        <f>"ΦΑΡΜΑΣΕΡΒ-ΛΙΛΛΥ Α.Ε.Β.Ε"</f>
        <v>ΦΑΡΜΑΣΕΡΒ-ΛΙΛΛΥ Α.Ε.Β.Ε</v>
      </c>
      <c r="C50" s="12" t="str">
        <f>"258910402"</f>
        <v>258910402</v>
      </c>
      <c r="D50" s="13" t="str">
        <f>"2802589104029"</f>
        <v>2802589104029</v>
      </c>
      <c r="E50" s="13" t="str">
        <f>"CIALIS F.C.TABL. 28x5MG"</f>
        <v>CIALIS F.C.TABL. 28x5MG</v>
      </c>
      <c r="F50" s="14">
        <v>60.86</v>
      </c>
      <c r="G50" s="13"/>
      <c r="H50" s="15">
        <v>0.05</v>
      </c>
      <c r="I50" s="37"/>
    </row>
    <row r="51" spans="1:9" s="12" customFormat="1" x14ac:dyDescent="0.25">
      <c r="A51" s="11">
        <v>2802589102018</v>
      </c>
      <c r="B51" s="12" t="str">
        <f>"ΦΑΡΜΑΣΕΡΒ-ΛΙΛΛΥ Α.Ε.Β.Ε"</f>
        <v>ΦΑΡΜΑΣΕΡΒ-ΛΙΛΛΥ Α.Ε.Β.Ε</v>
      </c>
      <c r="C51" s="12" t="str">
        <f>"258910201"</f>
        <v>258910201</v>
      </c>
      <c r="D51" s="13" t="str">
        <f>"2802589102018"</f>
        <v>2802589102018</v>
      </c>
      <c r="E51" s="13" t="str">
        <f>"CIALIS F.C.TABL. 2x20MG"</f>
        <v>CIALIS F.C.TABL. 2x20MG</v>
      </c>
      <c r="F51" s="14">
        <v>16.03</v>
      </c>
      <c r="G51" s="13"/>
      <c r="H51" s="15">
        <v>0.05</v>
      </c>
      <c r="I51" s="37"/>
    </row>
    <row r="52" spans="1:9" s="12" customFormat="1" x14ac:dyDescent="0.25">
      <c r="A52" s="11">
        <v>2802589101011</v>
      </c>
      <c r="B52" s="12" t="str">
        <f>"ΦΑΡΜΑΣΕΡΒ-ΛΙΛΛΥ Α.Ε.Β.Ε"</f>
        <v>ΦΑΡΜΑΣΕΡΒ-ΛΙΛΛΥ Α.Ε.Β.Ε</v>
      </c>
      <c r="C52" s="12" t="str">
        <f>"258910101"</f>
        <v>258910101</v>
      </c>
      <c r="D52" s="13" t="str">
        <f>"2802589101011"</f>
        <v>2802589101011</v>
      </c>
      <c r="E52" s="13" t="str">
        <f>"CIALIS F.C.TABL. 4x10MG"</f>
        <v>CIALIS F.C.TABL. 4x10MG</v>
      </c>
      <c r="F52" s="14">
        <v>27.57</v>
      </c>
      <c r="G52" s="13"/>
      <c r="H52" s="15">
        <v>0.05</v>
      </c>
      <c r="I52" s="37"/>
    </row>
    <row r="53" spans="1:9" s="12" customFormat="1" x14ac:dyDescent="0.25">
      <c r="A53" s="11">
        <v>2802589102025</v>
      </c>
      <c r="B53" s="12" t="str">
        <f>"ΦΑΡΜΑΣΕΡΒ-ΛΙΛΛΥ Α.Ε.Β.Ε"</f>
        <v>ΦΑΡΜΑΣΕΡΒ-ΛΙΛΛΥ Α.Ε.Β.Ε</v>
      </c>
      <c r="C53" s="12" t="str">
        <f>"258910202"</f>
        <v>258910202</v>
      </c>
      <c r="D53" s="13" t="str">
        <f>"2802589102025"</f>
        <v>2802589102025</v>
      </c>
      <c r="E53" s="13" t="str">
        <f>"CIALIS F.C.TABL. 4x20MG"</f>
        <v>CIALIS F.C.TABL. 4x20MG</v>
      </c>
      <c r="F53" s="14">
        <v>28.5</v>
      </c>
      <c r="G53" s="13"/>
      <c r="H53" s="15">
        <v>0.05</v>
      </c>
      <c r="I53" s="37"/>
    </row>
    <row r="54" spans="1:9" x14ac:dyDescent="0.25">
      <c r="A54" s="1">
        <v>2803053401019</v>
      </c>
      <c r="B54" t="str">
        <f>"LIBYTEC ΦΑΡΜΑΚΕΥΤΙΚΗ A.E."</f>
        <v>LIBYTEC ΦΑΡΜΑΚΕΥΤΙΚΗ A.E.</v>
      </c>
      <c r="C54" t="str">
        <f>"4540"</f>
        <v>4540</v>
      </c>
      <c r="D54" s="8" t="str">
        <f>"2803053401019"</f>
        <v>2803053401019</v>
      </c>
      <c r="E54" s="8" t="str">
        <f>"CLAUDIASIL TABL. 56x100MG"</f>
        <v>CLAUDIASIL TABL. 56x100MG</v>
      </c>
      <c r="F54" s="9">
        <v>21.75</v>
      </c>
      <c r="G54" s="8"/>
      <c r="H54" s="10">
        <v>0.05</v>
      </c>
      <c r="I54" s="8"/>
    </row>
    <row r="55" spans="1:9" x14ac:dyDescent="0.25">
      <c r="A55" s="1">
        <v>2802538501015</v>
      </c>
      <c r="B55" t="str">
        <f>"HELP A.B.E.E"</f>
        <v>HELP A.B.E.E</v>
      </c>
      <c r="C55" t="str">
        <f>"253850101"</f>
        <v>253850101</v>
      </c>
      <c r="D55" s="8" t="str">
        <f>"2802538501015"</f>
        <v>2802538501015</v>
      </c>
      <c r="E55" s="8" t="str">
        <f>"CLIMYCEN VAG CR. 2% TUB 40MGX7AMP"</f>
        <v>CLIMYCEN VAG CR. 2% TUB 40MGX7AMP</v>
      </c>
      <c r="F55" s="9">
        <v>2.85</v>
      </c>
      <c r="G55" s="8"/>
      <c r="H55" s="10">
        <v>0.04</v>
      </c>
      <c r="I55" s="8"/>
    </row>
    <row r="56" spans="1:9" x14ac:dyDescent="0.25">
      <c r="A56" s="1">
        <v>2802914401038</v>
      </c>
      <c r="B56" t="str">
        <f>"LIBYTEC ΦΑΡΜΑΚΕΥΤΙΚΗ A.E."</f>
        <v>LIBYTEC ΦΑΡΜΑΚΕΥΤΙΚΗ A.E.</v>
      </c>
      <c r="C56" t="str">
        <f>"291440103"</f>
        <v>291440103</v>
      </c>
      <c r="D56" s="8" t="str">
        <f>"2802914401038"</f>
        <v>2802914401038</v>
      </c>
      <c r="E56" s="8" t="str">
        <f>"CLODELIB F.C.TABL. 30x75MG"</f>
        <v>CLODELIB F.C.TABL. 30x75MG</v>
      </c>
      <c r="F56" s="9">
        <v>6.46</v>
      </c>
      <c r="G56" s="8"/>
      <c r="H56" s="10">
        <v>0.05</v>
      </c>
      <c r="I56" s="8"/>
    </row>
    <row r="57" spans="1:9" x14ac:dyDescent="0.25">
      <c r="A57" s="1">
        <v>2803024501038</v>
      </c>
      <c r="B57" t="str">
        <f>"LAVIPHARM ACTIVE SERVICES MON. A.E.E."</f>
        <v>LAVIPHARM ACTIVE SERVICES MON. A.E.E.</v>
      </c>
      <c r="C57" t="str">
        <f>"302450103"</f>
        <v>302450103</v>
      </c>
      <c r="D57" s="8" t="str">
        <f>"2803024501038"</f>
        <v>2803024501038</v>
      </c>
      <c r="E57" s="8" t="str">
        <f>"CLOPIDOGREL/ZENTIVA F.C.TABL.28x75MG"</f>
        <v>CLOPIDOGREL/ZENTIVA F.C.TABL.28x75MG</v>
      </c>
      <c r="F57" s="9">
        <v>2.54</v>
      </c>
      <c r="G57" s="8"/>
      <c r="H57" s="10">
        <v>0.03</v>
      </c>
      <c r="I57" s="8"/>
    </row>
    <row r="58" spans="1:9" x14ac:dyDescent="0.25">
      <c r="A58" s="1">
        <v>2802388902017</v>
      </c>
      <c r="B58" t="str">
        <f>"NOVARTIS HELLAS A.E.B.E."</f>
        <v>NOVARTIS HELLAS A.E.B.E.</v>
      </c>
      <c r="C58" t="str">
        <f>"050749"</f>
        <v>050749</v>
      </c>
      <c r="D58" s="8" t="str">
        <f>"2802388902017"</f>
        <v>2802388902017</v>
      </c>
      <c r="E58" s="8" t="str">
        <f>"CO-DIOVAN F.C.TABL. 14x(160+12,5)MG"</f>
        <v>CO-DIOVAN F.C.TABL. 14x(160+12,5)MG</v>
      </c>
      <c r="F58" s="9">
        <v>4.08</v>
      </c>
      <c r="G58" s="8"/>
      <c r="H58" s="10">
        <v>0.05</v>
      </c>
      <c r="I58" s="8"/>
    </row>
    <row r="59" spans="1:9" x14ac:dyDescent="0.25">
      <c r="A59" s="1">
        <v>2802388903014</v>
      </c>
      <c r="B59" t="str">
        <f>"NOVARTIS HELLAS A.E.B.E."</f>
        <v>NOVARTIS HELLAS A.E.B.E.</v>
      </c>
      <c r="C59" t="str">
        <f>"238890301"</f>
        <v>238890301</v>
      </c>
      <c r="D59" s="8" t="str">
        <f>"2802388903014"</f>
        <v>2802388903014</v>
      </c>
      <c r="E59" s="8" t="str">
        <f>"CO-DIOVAN F.C.TABL. 14x(160+25)MG"</f>
        <v>CO-DIOVAN F.C.TABL. 14x(160+25)MG</v>
      </c>
      <c r="F59" s="9">
        <v>3.21</v>
      </c>
      <c r="G59" s="8"/>
      <c r="H59" s="10">
        <v>0.05</v>
      </c>
      <c r="I59" s="8"/>
    </row>
    <row r="60" spans="1:9" x14ac:dyDescent="0.25">
      <c r="A60" s="1">
        <v>2802388904011</v>
      </c>
      <c r="B60" t="str">
        <f>"NOVARTIS HELLAS A.E.B.E."</f>
        <v>NOVARTIS HELLAS A.E.B.E.</v>
      </c>
      <c r="C60" t="str">
        <f>"238890401"</f>
        <v>238890401</v>
      </c>
      <c r="D60" s="8" t="str">
        <f>"2802388904011"</f>
        <v>2802388904011</v>
      </c>
      <c r="E60" s="8" t="str">
        <f>"CO-DIOVAN F.C.TABL. 14x(320+12,5)MG"</f>
        <v>CO-DIOVAN F.C.TABL. 14x(320+12,5)MG</v>
      </c>
      <c r="F60" s="9">
        <v>6.77</v>
      </c>
      <c r="G60" s="8"/>
      <c r="H60" s="10">
        <v>0.05</v>
      </c>
      <c r="I60" s="8"/>
    </row>
    <row r="61" spans="1:9" x14ac:dyDescent="0.25">
      <c r="A61" s="1">
        <v>2802388905018</v>
      </c>
      <c r="B61" t="str">
        <f>"NOVARTIS HELLAS A.E.B.E."</f>
        <v>NOVARTIS HELLAS A.E.B.E.</v>
      </c>
      <c r="C61" t="str">
        <f>"238890501"</f>
        <v>238890501</v>
      </c>
      <c r="D61" s="8" t="str">
        <f>"2802388905018"</f>
        <v>2802388905018</v>
      </c>
      <c r="E61" s="8" t="str">
        <f>"CO-DIOVAN F.C.TABL. 14x(320+25)MG"</f>
        <v>CO-DIOVAN F.C.TABL. 14x(320+25)MG</v>
      </c>
      <c r="F61" s="9">
        <v>6.95</v>
      </c>
      <c r="G61" s="8"/>
      <c r="H61" s="10">
        <v>0.05</v>
      </c>
      <c r="I61" s="8"/>
    </row>
    <row r="62" spans="1:9" x14ac:dyDescent="0.25">
      <c r="A62" s="1">
        <v>2802388901010</v>
      </c>
      <c r="B62" t="str">
        <f>"NOVARTIS HELLAS A.E.B.E."</f>
        <v>NOVARTIS HELLAS A.E.B.E.</v>
      </c>
      <c r="C62" t="str">
        <f>"238890101"</f>
        <v>238890101</v>
      </c>
      <c r="D62" s="8" t="str">
        <f>"2802388901010"</f>
        <v>2802388901010</v>
      </c>
      <c r="E62" s="8" t="str">
        <f>"CO-DIOVAN F.C.TABL. 14x(80+12,5)MG"</f>
        <v>CO-DIOVAN F.C.TABL. 14x(80+12,5)MG</v>
      </c>
      <c r="F62" s="9">
        <v>2.7</v>
      </c>
      <c r="G62" s="8"/>
      <c r="H62" s="10">
        <v>0.05</v>
      </c>
      <c r="I62" s="8"/>
    </row>
    <row r="63" spans="1:9" x14ac:dyDescent="0.25">
      <c r="A63" s="1">
        <v>2803027802033</v>
      </c>
      <c r="B63" t="str">
        <f>"LAVIPHARM ACTIVE SERVICES MON. A.E.E."</f>
        <v>LAVIPHARM ACTIVE SERVICES MON. A.E.E.</v>
      </c>
      <c r="C63" t="str">
        <f>"6961"</f>
        <v>6961</v>
      </c>
      <c r="D63" s="8" t="str">
        <f>"2803027802033"</f>
        <v>2803027802033</v>
      </c>
      <c r="E63" s="8" t="str">
        <f>"COGNOMEM F.C.TABL. 30x20MG"</f>
        <v>COGNOMEM F.C.TABL. 30x20MG</v>
      </c>
      <c r="F63" s="9">
        <v>16.28</v>
      </c>
      <c r="G63" s="8"/>
      <c r="H63" s="10">
        <v>0.03</v>
      </c>
      <c r="I63" s="8"/>
    </row>
    <row r="64" spans="1:9" x14ac:dyDescent="0.25">
      <c r="A64" s="1">
        <v>2803189101012</v>
      </c>
      <c r="B64" t="str">
        <f>"KARIAN ΦΑΡΜΑΚΕΥΤΙΚΗ ΜΟΝ. Ι.Κ.Ε."</f>
        <v>KARIAN ΦΑΡΜΑΚΕΥΤΙΚΗ ΜΟΝ. Ι.Κ.Ε.</v>
      </c>
      <c r="C64" t="str">
        <f>"318910101"</f>
        <v>318910101</v>
      </c>
      <c r="D64" s="8" t="str">
        <f>"2803189101012"</f>
        <v>2803189101012</v>
      </c>
      <c r="E64" s="8" t="str">
        <f>"COLCHICINA/ACARPIA TABL. 30x1MG"</f>
        <v>COLCHICINA/ACARPIA TABL. 30x1MG</v>
      </c>
      <c r="F64" s="9">
        <v>3.78</v>
      </c>
      <c r="G64" s="8"/>
      <c r="H64" s="10">
        <v>0.05</v>
      </c>
      <c r="I64" s="8"/>
    </row>
    <row r="65" spans="1:9" x14ac:dyDescent="0.25">
      <c r="A65" s="1">
        <v>2803121801017</v>
      </c>
      <c r="B65" t="str">
        <f>"FARMASYN AE"</f>
        <v>FARMASYN AE</v>
      </c>
      <c r="C65" t="str">
        <f>"312180101"</f>
        <v>312180101</v>
      </c>
      <c r="D65" s="8" t="str">
        <f>"2803121801017"</f>
        <v>2803121801017</v>
      </c>
      <c r="E65" s="8" t="str">
        <f>"COLCHICINE/FARMASYN TABL. 40x1MG"</f>
        <v>COLCHICINE/FARMASYN TABL. 40x1MG</v>
      </c>
      <c r="F65" s="9">
        <v>4.58</v>
      </c>
      <c r="G65" s="8"/>
      <c r="H65" s="10">
        <v>0.05</v>
      </c>
      <c r="I65" s="8"/>
    </row>
    <row r="66" spans="1:9" x14ac:dyDescent="0.25">
      <c r="A66" s="1">
        <v>2803219303027</v>
      </c>
      <c r="B66" t="str">
        <f>"DEMO  ABEE"</f>
        <v>DEMO  ABEE</v>
      </c>
      <c r="C66" t="str">
        <f>"321930302"</f>
        <v>321930302</v>
      </c>
      <c r="D66" s="8" t="str">
        <f>"2803219303027"</f>
        <v>2803219303027</v>
      </c>
      <c r="E66" s="8" t="str">
        <f>"COVADIR F.C.TABL.30x(10+160)MG"</f>
        <v>COVADIR F.C.TABL.30x(10+160)MG</v>
      </c>
      <c r="F66" s="9">
        <v>6.11</v>
      </c>
      <c r="G66" s="8"/>
      <c r="H66" s="10">
        <v>0.05</v>
      </c>
      <c r="I66" s="8"/>
    </row>
    <row r="67" spans="1:9" x14ac:dyDescent="0.25">
      <c r="A67" s="1">
        <v>2803219302020</v>
      </c>
      <c r="B67" t="str">
        <f>"DEMO  ABEE"</f>
        <v>DEMO  ABEE</v>
      </c>
      <c r="C67" t="str">
        <f>"321930202"</f>
        <v>321930202</v>
      </c>
      <c r="D67" s="8" t="str">
        <f>"2803219302020"</f>
        <v>2803219302020</v>
      </c>
      <c r="E67" s="8" t="str">
        <f>"COVADIR F.C.TABL.30x(5+160)MG"</f>
        <v>COVADIR F.C.TABL.30x(5+160)MG</v>
      </c>
      <c r="F67" s="9">
        <v>5.59</v>
      </c>
      <c r="G67" s="8"/>
      <c r="H67" s="10">
        <v>0.05</v>
      </c>
      <c r="I67" s="8"/>
    </row>
    <row r="68" spans="1:9" x14ac:dyDescent="0.25">
      <c r="A68" s="1">
        <v>2802874902026</v>
      </c>
      <c r="B68" t="str">
        <f>"LAVIPHARM ACTIVE SERVICES MON. A.E.E."</f>
        <v>LAVIPHARM ACTIVE SERVICES MON. A.E.E.</v>
      </c>
      <c r="C68" t="str">
        <f>"287490202"</f>
        <v>287490202</v>
      </c>
      <c r="D68" s="8" t="str">
        <f>"2802874902026"</f>
        <v>2802874902026</v>
      </c>
      <c r="E68" s="8" t="str">
        <f>"COVOLOS F.C.TABL. 30x10MG"</f>
        <v>COVOLOS F.C.TABL. 30x10MG</v>
      </c>
      <c r="F68" s="9">
        <v>15.87</v>
      </c>
      <c r="G68" s="8"/>
      <c r="H68" s="10">
        <v>0.03</v>
      </c>
      <c r="I68" s="8"/>
    </row>
    <row r="69" spans="1:9" x14ac:dyDescent="0.25">
      <c r="A69" s="1">
        <v>2802874901029</v>
      </c>
      <c r="B69" t="str">
        <f>"LAVIPHARM ACTIVE SERVICES MON. A.E.E."</f>
        <v>LAVIPHARM ACTIVE SERVICES MON. A.E.E.</v>
      </c>
      <c r="C69" t="str">
        <f>"287490102"</f>
        <v>287490102</v>
      </c>
      <c r="D69" s="8" t="str">
        <f>"2802874901029"</f>
        <v>2802874901029</v>
      </c>
      <c r="E69" s="8" t="str">
        <f>"COVOLOS F.C.TABL. 30x5MG"</f>
        <v>COVOLOS F.C.TABL. 30x5MG</v>
      </c>
      <c r="F69" s="9">
        <v>11.07</v>
      </c>
      <c r="G69" s="8"/>
      <c r="H69" s="10">
        <v>0.03</v>
      </c>
      <c r="I69" s="8"/>
    </row>
    <row r="70" spans="1:9" x14ac:dyDescent="0.25">
      <c r="A70" s="1">
        <v>2801307801011</v>
      </c>
      <c r="B70" t="str">
        <f>"JOHNSON &amp; JOHNSON ΕΛΛΑΣ Α.Ε.E"</f>
        <v>JOHNSON &amp; JOHNSON ΕΛΛΑΣ Α.Ε.E</v>
      </c>
      <c r="C70" t="str">
        <f>"00860"</f>
        <v>00860</v>
      </c>
      <c r="D70" s="8" t="str">
        <f>"2801307801011"</f>
        <v>2801307801011</v>
      </c>
      <c r="E70" s="8" t="str">
        <f>"DAKTODOR CREAM 15G"</f>
        <v>DAKTODOR CREAM 15G</v>
      </c>
      <c r="F70" s="9">
        <v>1.42</v>
      </c>
      <c r="G70" s="8"/>
      <c r="H70" s="10">
        <v>0.05</v>
      </c>
      <c r="I70" s="8"/>
    </row>
    <row r="71" spans="1:9" x14ac:dyDescent="0.25">
      <c r="A71" s="1">
        <v>2802869701047</v>
      </c>
      <c r="B71" t="str">
        <f>"HELP A.B.E.E"</f>
        <v>HELP A.B.E.E</v>
      </c>
      <c r="C71" t="str">
        <f>"286970104"</f>
        <v>286970104</v>
      </c>
      <c r="D71" s="8" t="str">
        <f>"2802869701047"</f>
        <v>2802869701047</v>
      </c>
      <c r="E71" s="8" t="str">
        <f>"DARXA F.C.TABL. 30x75MG"</f>
        <v>DARXA F.C.TABL. 30x75MG</v>
      </c>
      <c r="F71" s="9">
        <v>6.46</v>
      </c>
      <c r="G71" s="8"/>
      <c r="H71" s="10">
        <v>0.04</v>
      </c>
      <c r="I71" s="8"/>
    </row>
    <row r="72" spans="1:9" x14ac:dyDescent="0.25">
      <c r="A72" s="1">
        <v>2803144501017</v>
      </c>
      <c r="B72" t="str">
        <f>"DEMO  ABEE"</f>
        <v>DEMO  ABEE</v>
      </c>
      <c r="C72" t="str">
        <f>"314450101"</f>
        <v>314450101</v>
      </c>
      <c r="D72" s="8" t="str">
        <f>"2803144501017"</f>
        <v>2803144501017</v>
      </c>
      <c r="E72" s="8" t="str">
        <f>"DASTIDEM SOFT CAPS 30x0,5MG"</f>
        <v>DASTIDEM SOFT CAPS 30x0,5MG</v>
      </c>
      <c r="F72" s="9">
        <v>4.43</v>
      </c>
      <c r="G72" s="8"/>
      <c r="H72" s="10">
        <v>0.05</v>
      </c>
      <c r="I72" s="8"/>
    </row>
    <row r="73" spans="1:9" x14ac:dyDescent="0.25">
      <c r="A73" s="1">
        <v>2803203902021</v>
      </c>
      <c r="B73" t="str">
        <f>"MEDICAL PHARMAQUALITY A.E."</f>
        <v>MEDICAL PHARMAQUALITY A.E.</v>
      </c>
      <c r="C73" t="str">
        <f>"320390202"</f>
        <v>320390202</v>
      </c>
      <c r="D73" s="8" t="str">
        <f>"2803203902021"</f>
        <v>2803203902021</v>
      </c>
      <c r="E73" s="8" t="str">
        <f>"DE3-SOLE OR.SOL.SDC VIALS 4x2,5MLx25.000IU"</f>
        <v>DE3-SOLE OR.SOL.SDC VIALS 4x2,5MLx25.000IU</v>
      </c>
      <c r="F73" s="9">
        <v>11.58</v>
      </c>
      <c r="G73" s="8"/>
      <c r="H73" s="10">
        <v>0.05</v>
      </c>
      <c r="I73" s="8"/>
    </row>
    <row r="74" spans="1:9" x14ac:dyDescent="0.25">
      <c r="A74" s="1">
        <v>2802742401019</v>
      </c>
      <c r="B74" t="str">
        <f>"LIBYTEC ΦΑΡΜΑΚΕΥΤΙΚΗ A.E."</f>
        <v>LIBYTEC ΦΑΡΜΑΚΕΥΤΙΚΗ A.E.</v>
      </c>
      <c r="C74" t="str">
        <f>"274240101"</f>
        <v>274240101</v>
      </c>
      <c r="D74" s="8" t="str">
        <f>"2802742401019"</f>
        <v>2802742401019</v>
      </c>
      <c r="E74" s="8" t="str">
        <f>"DELFOZA 4TABL 70MG"</f>
        <v>DELFOZA 4TABL 70MG</v>
      </c>
      <c r="F74" s="9">
        <v>4.1399999999999997</v>
      </c>
      <c r="G74" s="8"/>
      <c r="H74" s="10">
        <v>0.05</v>
      </c>
      <c r="I74" s="8"/>
    </row>
    <row r="75" spans="1:9" x14ac:dyDescent="0.25">
      <c r="A75" s="1">
        <v>2803167701029</v>
      </c>
      <c r="B75" t="str">
        <f>"DEMO  ABEE"</f>
        <v>DEMO  ABEE</v>
      </c>
      <c r="C75" t="str">
        <f>"316770102"</f>
        <v>316770102</v>
      </c>
      <c r="D75" s="8" t="str">
        <f>"2803167701029"</f>
        <v>2803167701029</v>
      </c>
      <c r="E75" s="8" t="str">
        <f>"DELIPID F.C.TABL. 30x10MG"</f>
        <v>DELIPID F.C.TABL. 30x10MG</v>
      </c>
      <c r="F75" s="9">
        <v>15.81</v>
      </c>
      <c r="G75" s="8"/>
      <c r="H75" s="10">
        <v>0.05</v>
      </c>
      <c r="I75" s="8"/>
    </row>
    <row r="76" spans="1:9" x14ac:dyDescent="0.25">
      <c r="A76" s="1">
        <v>2803056801014</v>
      </c>
      <c r="B76" t="str">
        <f>"DEMO  ABEE"</f>
        <v>DEMO  ABEE</v>
      </c>
      <c r="C76" t="str">
        <f>"6699"</f>
        <v>6699</v>
      </c>
      <c r="D76" s="8" t="str">
        <f>"2803056801014"</f>
        <v>2803056801014</v>
      </c>
      <c r="E76" s="8" t="str">
        <f>"DEMOGREL F.C.TABL. 28x75MG"</f>
        <v>DEMOGREL F.C.TABL. 28x75MG</v>
      </c>
      <c r="F76" s="9">
        <v>6.03</v>
      </c>
      <c r="G76" s="8"/>
      <c r="H76" s="10">
        <v>0.05</v>
      </c>
      <c r="I76" s="8"/>
    </row>
    <row r="77" spans="1:9" x14ac:dyDescent="0.25">
      <c r="A77" s="1">
        <v>2802617701015</v>
      </c>
      <c r="B77" t="str">
        <f>"BENNETT ΦΑΡΜΑΚΕΥΤΙΚΗ Α.Ε"</f>
        <v>BENNETT ΦΑΡΜΑΚΕΥΤΙΚΗ Α.Ε</v>
      </c>
      <c r="C77" t="str">
        <f>"261770101"</f>
        <v>261770101</v>
      </c>
      <c r="D77" s="8" t="str">
        <f>"2802617701015"</f>
        <v>2802617701015</v>
      </c>
      <c r="E77" s="8" t="str">
        <f>"DEPRERAM F.C.TABL. 30x30MG"</f>
        <v>DEPRERAM F.C.TABL. 30x30MG</v>
      </c>
      <c r="F77" s="9">
        <v>5.68</v>
      </c>
      <c r="G77" s="8"/>
      <c r="H77" s="10">
        <v>0.05</v>
      </c>
      <c r="I77" s="8"/>
    </row>
    <row r="78" spans="1:9" x14ac:dyDescent="0.25">
      <c r="A78" s="1">
        <v>2803050401036</v>
      </c>
      <c r="B78" t="str">
        <f>"PROMOPHARMA A.E."</f>
        <v>PROMOPHARMA A.E.</v>
      </c>
      <c r="C78" t="str">
        <f>"305040103"</f>
        <v>305040103</v>
      </c>
      <c r="D78" s="8" t="str">
        <f>"2803050401036"</f>
        <v>2803050401036</v>
      </c>
      <c r="E78" s="8" t="str">
        <f>"DICLODUO COMBI CAPS 75MG 20CAPS"</f>
        <v>DICLODUO COMBI CAPS 75MG 20CAPS</v>
      </c>
      <c r="F78" s="9">
        <v>7.59</v>
      </c>
      <c r="G78" s="8"/>
      <c r="H78" s="10">
        <v>0.1</v>
      </c>
      <c r="I78" s="8"/>
    </row>
    <row r="79" spans="1:9" x14ac:dyDescent="0.25">
      <c r="A79" s="1">
        <v>2802328704251</v>
      </c>
      <c r="B79" t="str">
        <f>"NOVARTIS HELLAS A.E.B.E."</f>
        <v>NOVARTIS HELLAS A.E.B.E.</v>
      </c>
      <c r="C79" t="str">
        <f>"232870425"</f>
        <v>232870425</v>
      </c>
      <c r="D79" s="8" t="str">
        <f>"2802328704251"</f>
        <v>2802328704251</v>
      </c>
      <c r="E79" s="8" t="str">
        <f>"DIOVAN F.C.TABL. 14x160MG"</f>
        <v>DIOVAN F.C.TABL. 14x160MG</v>
      </c>
      <c r="F79" s="9">
        <v>2.58</v>
      </c>
      <c r="G79" s="8"/>
      <c r="H79" s="10">
        <v>0.05</v>
      </c>
      <c r="I79" s="8"/>
    </row>
    <row r="80" spans="1:9" x14ac:dyDescent="0.25">
      <c r="A80" s="1">
        <v>2802328706286</v>
      </c>
      <c r="B80" t="str">
        <f>"NOVARTIS HELLAS A.E.B.E."</f>
        <v>NOVARTIS HELLAS A.E.B.E.</v>
      </c>
      <c r="C80" t="str">
        <f>"232870628"</f>
        <v>232870628</v>
      </c>
      <c r="D80" s="8" t="str">
        <f>"2802328706286"</f>
        <v>2802328706286</v>
      </c>
      <c r="E80" s="8" t="str">
        <f>"DIOVAN F.C.TABL. 14x320MG"</f>
        <v>DIOVAN F.C.TABL. 14x320MG</v>
      </c>
      <c r="F80" s="9">
        <v>5.56</v>
      </c>
      <c r="G80" s="8"/>
      <c r="H80" s="10">
        <v>0.05</v>
      </c>
      <c r="I80" s="8"/>
    </row>
    <row r="81" spans="1:9" x14ac:dyDescent="0.25">
      <c r="A81" s="1">
        <v>2802328705258</v>
      </c>
      <c r="B81" t="str">
        <f>"NOVARTIS HELLAS A.E.B.E."</f>
        <v>NOVARTIS HELLAS A.E.B.E.</v>
      </c>
      <c r="C81" t="str">
        <f>"232870501"</f>
        <v>232870501</v>
      </c>
      <c r="D81" s="8" t="str">
        <f>"2802328705258"</f>
        <v>2802328705258</v>
      </c>
      <c r="E81" s="8" t="str">
        <f>"DIOVAN F.C.TABL. 14x40MG"</f>
        <v>DIOVAN F.C.TABL. 14x40MG</v>
      </c>
      <c r="F81" s="9">
        <v>3.3</v>
      </c>
      <c r="G81" s="8"/>
      <c r="H81" s="10">
        <v>0.05</v>
      </c>
      <c r="I81" s="8"/>
    </row>
    <row r="82" spans="1:9" x14ac:dyDescent="0.25">
      <c r="A82" s="1">
        <v>2802328703254</v>
      </c>
      <c r="B82" t="str">
        <f>"NOVARTIS HELLAS A.E.B.E."</f>
        <v>NOVARTIS HELLAS A.E.B.E.</v>
      </c>
      <c r="C82" t="str">
        <f>"232870325"</f>
        <v>232870325</v>
      </c>
      <c r="D82" s="8" t="str">
        <f>"2802328703254"</f>
        <v>2802328703254</v>
      </c>
      <c r="E82" s="8" t="str">
        <f>"DIOVAN F.C.TABL. 14x80MG"</f>
        <v>DIOVAN F.C.TABL. 14x80MG</v>
      </c>
      <c r="F82" s="9">
        <v>2.77</v>
      </c>
      <c r="G82" s="8"/>
      <c r="H82" s="10">
        <v>0.05</v>
      </c>
      <c r="I82" s="8"/>
    </row>
    <row r="83" spans="1:9" x14ac:dyDescent="0.25">
      <c r="A83" s="1">
        <v>2803149004025</v>
      </c>
      <c r="B83" t="str">
        <f>"MEDICAL PHARMAQUALITY A.E."</f>
        <v>MEDICAL PHARMAQUALITY A.E.</v>
      </c>
      <c r="C83" t="str">
        <f>"314900402"</f>
        <v>314900402</v>
      </c>
      <c r="D83" s="8" t="str">
        <f>"2803149004025"</f>
        <v>2803149004025</v>
      </c>
      <c r="E83" s="8" t="str">
        <f>"DIOZI F.C.TABL. 4x20MG"</f>
        <v>DIOZI F.C.TABL. 4x20MG</v>
      </c>
      <c r="F83" s="9">
        <v>14.4</v>
      </c>
      <c r="G83" s="8"/>
      <c r="H83" s="10">
        <v>0.05</v>
      </c>
      <c r="I83" s="8"/>
    </row>
    <row r="84" spans="1:9" x14ac:dyDescent="0.25">
      <c r="A84" s="1">
        <v>2803168601014</v>
      </c>
      <c r="B84" t="str">
        <f>"RAFARM AEBE"</f>
        <v>RAFARM AEBE</v>
      </c>
      <c r="C84" t="str">
        <f>"316860101"</f>
        <v>316860101</v>
      </c>
      <c r="D84" s="8" t="str">
        <f>"2803168601014"</f>
        <v>2803168601014</v>
      </c>
      <c r="E84" s="8" t="str">
        <f>"DIREXYN F.C.TABL.4x10MG"</f>
        <v>DIREXYN F.C.TABL.4x10MG</v>
      </c>
      <c r="F84" s="9">
        <v>15</v>
      </c>
      <c r="G84" s="8"/>
      <c r="H84" s="10">
        <v>0.1</v>
      </c>
      <c r="I84" s="8"/>
    </row>
    <row r="85" spans="1:9" x14ac:dyDescent="0.25">
      <c r="A85" s="1">
        <v>2803168602011</v>
      </c>
      <c r="B85" t="str">
        <f>"RAFARM AEBE"</f>
        <v>RAFARM AEBE</v>
      </c>
      <c r="C85" t="str">
        <f>"316860201"</f>
        <v>316860201</v>
      </c>
      <c r="D85" s="8" t="str">
        <f>"2803168602011"</f>
        <v>2803168602011</v>
      </c>
      <c r="E85" s="8" t="str">
        <f>"DIREXYN F.C.TABL.4x20MG"</f>
        <v>DIREXYN F.C.TABL.4x20MG</v>
      </c>
      <c r="F85" s="9">
        <v>16</v>
      </c>
      <c r="G85" s="8"/>
      <c r="H85" s="10">
        <v>0.1</v>
      </c>
      <c r="I85" s="8"/>
    </row>
    <row r="86" spans="1:9" x14ac:dyDescent="0.25">
      <c r="A86" s="1">
        <v>2803240801028</v>
      </c>
      <c r="B86" t="str">
        <f>"GENEPHARM A.E."</f>
        <v>GENEPHARM A.E.</v>
      </c>
      <c r="C86" t="str">
        <f>"324080102"</f>
        <v>324080102</v>
      </c>
      <c r="D86" s="8" t="str">
        <f>"2803240801028"</f>
        <v>2803240801028</v>
      </c>
      <c r="E86" s="8" t="str">
        <f>"DOXARED CAPS 30x(0,5+0,4MG)"</f>
        <v>DOXARED CAPS 30x(0,5+0,4MG)</v>
      </c>
      <c r="F86" s="9">
        <v>10.32</v>
      </c>
      <c r="G86" s="8"/>
      <c r="H86" s="10">
        <v>0.05</v>
      </c>
      <c r="I86" s="8"/>
    </row>
    <row r="87" spans="1:9" x14ac:dyDescent="0.25">
      <c r="A87" s="1">
        <v>2803245202011</v>
      </c>
      <c r="B87" t="str">
        <f>"GENEPHARM A.E."</f>
        <v>GENEPHARM A.E.</v>
      </c>
      <c r="C87" t="str">
        <f>"324520201"</f>
        <v>324520201</v>
      </c>
      <c r="D87" s="8" t="str">
        <f>"2803245202011"</f>
        <v>2803245202011</v>
      </c>
      <c r="E87" s="8" t="str">
        <f>"DUOBREATHE INH.SUS.25+125MCG/DOSE"</f>
        <v>DUOBREATHE INH.SUS.25+125MCG/DOSE</v>
      </c>
      <c r="F87" s="9">
        <v>17.21</v>
      </c>
      <c r="G87" s="8"/>
      <c r="H87" s="10">
        <v>0.05</v>
      </c>
      <c r="I87" s="41" t="s">
        <v>20</v>
      </c>
    </row>
    <row r="88" spans="1:9" x14ac:dyDescent="0.25">
      <c r="A88" s="1">
        <v>2803245201014</v>
      </c>
      <c r="B88" t="str">
        <f>"GENEPHARM A.E."</f>
        <v>GENEPHARM A.E.</v>
      </c>
      <c r="C88" t="str">
        <f>"324520101"</f>
        <v>324520101</v>
      </c>
      <c r="D88" s="8" t="str">
        <f>"2803245201014"</f>
        <v>2803245201014</v>
      </c>
      <c r="E88" s="8" t="str">
        <f>"DUOBREATHE INH.SUS.25+50 MCG/DOSE"</f>
        <v>DUOBREATHE INH.SUS.25+50 MCG/DOSE</v>
      </c>
      <c r="F88" s="9">
        <v>14.57</v>
      </c>
      <c r="G88" s="8"/>
      <c r="H88" s="10">
        <v>0.05</v>
      </c>
      <c r="I88" s="42"/>
    </row>
    <row r="89" spans="1:9" x14ac:dyDescent="0.25">
      <c r="A89" s="1">
        <v>2803012201049</v>
      </c>
      <c r="B89" t="str">
        <f>"LAVIPHARM ACTIVE SERVICES MON. A.E.E."</f>
        <v>LAVIPHARM ACTIVE SERVICES MON. A.E.E.</v>
      </c>
      <c r="C89" t="str">
        <f>"301220104"</f>
        <v>301220104</v>
      </c>
      <c r="D89" s="8" t="str">
        <f>"2803012201049"</f>
        <v>2803012201049</v>
      </c>
      <c r="E89" s="8" t="str">
        <f>"ELEVEON F.C.TABL. 30x25MG"</f>
        <v>ELEVEON F.C.TABL. 30x25MG</v>
      </c>
      <c r="F89" s="9">
        <v>9.43</v>
      </c>
      <c r="G89" s="8"/>
      <c r="H89" s="10">
        <v>0.03</v>
      </c>
      <c r="I89" s="8"/>
    </row>
    <row r="90" spans="1:9" x14ac:dyDescent="0.25">
      <c r="A90" s="1">
        <v>2803012202046</v>
      </c>
      <c r="B90" t="str">
        <f>"LAVIPHARM ACTIVE SERVICES MON. A.E.E."</f>
        <v>LAVIPHARM ACTIVE SERVICES MON. A.E.E.</v>
      </c>
      <c r="C90" t="str">
        <f>"301220204"</f>
        <v>301220204</v>
      </c>
      <c r="D90" s="8" t="str">
        <f>"2803012202046"</f>
        <v>2803012202046</v>
      </c>
      <c r="E90" s="8" t="str">
        <f>"ELEVEON F.C.TABL. 30x50MG"</f>
        <v>ELEVEON F.C.TABL. 30x50MG</v>
      </c>
      <c r="F90" s="9">
        <v>9.77</v>
      </c>
      <c r="G90" s="8"/>
      <c r="H90" s="10">
        <v>0.03</v>
      </c>
      <c r="I90" s="8"/>
    </row>
    <row r="91" spans="1:9" x14ac:dyDescent="0.25">
      <c r="A91" s="1">
        <v>2801343201011</v>
      </c>
      <c r="B91" t="str">
        <f>"ΚΟΠΕΡ ΑΕ"</f>
        <v>ΚΟΠΕΡ ΑΕ</v>
      </c>
      <c r="C91" t="str">
        <f>"01135"</f>
        <v>01135</v>
      </c>
      <c r="D91" s="8" t="str">
        <f>"2801343201011"</f>
        <v>2801343201011</v>
      </c>
      <c r="E91" s="8" t="str">
        <f>"ENEMA COOPER 125ML"</f>
        <v>ENEMA COOPER 125ML</v>
      </c>
      <c r="F91" s="9">
        <v>1.34</v>
      </c>
      <c r="G91" s="8"/>
      <c r="H91" s="10">
        <v>0.05</v>
      </c>
      <c r="I91" s="8"/>
    </row>
    <row r="92" spans="1:9" x14ac:dyDescent="0.25">
      <c r="A92" s="1">
        <v>2802602101011</v>
      </c>
      <c r="B92" t="str">
        <f>"BOTANIA LTD"</f>
        <v>BOTANIA LTD</v>
      </c>
      <c r="C92" t="str">
        <f>"260210101"</f>
        <v>260210101</v>
      </c>
      <c r="D92" s="8" t="str">
        <f>"2802602101011"</f>
        <v>2802602101011</v>
      </c>
      <c r="E92" s="8" t="str">
        <f>"ENEMA PHOSPHATES BOTANIA REC.SOL130ML"</f>
        <v>ENEMA PHOSPHATES BOTANIA REC.SOL130ML</v>
      </c>
      <c r="F92" s="9">
        <v>1.82</v>
      </c>
      <c r="G92" s="8"/>
      <c r="H92" s="10">
        <v>0.2</v>
      </c>
      <c r="I92" s="8"/>
    </row>
    <row r="93" spans="1:9" x14ac:dyDescent="0.25">
      <c r="A93" s="1">
        <v>2802058701049</v>
      </c>
      <c r="B93" t="str">
        <f>"ANFARM ΕΛΛΑΣ ΑΕ"</f>
        <v>ANFARM ΕΛΛΑΣ ΑΕ</v>
      </c>
      <c r="C93" t="str">
        <f>"205870104"</f>
        <v>205870104</v>
      </c>
      <c r="D93" s="8" t="str">
        <f>"2802058701049"</f>
        <v>2802058701049</v>
      </c>
      <c r="E93" s="8" t="str">
        <f>"ESELAN GR CAPS 28x20MG"</f>
        <v>ESELAN GR CAPS 28x20MG</v>
      </c>
      <c r="F93" s="9">
        <v>5.97</v>
      </c>
      <c r="G93" s="8"/>
      <c r="H93" s="10">
        <v>0.05</v>
      </c>
      <c r="I93" s="8"/>
    </row>
    <row r="94" spans="1:9" x14ac:dyDescent="0.25">
      <c r="A94" s="1">
        <v>2802058704026</v>
      </c>
      <c r="B94" t="str">
        <f>"ANFARM ΕΛΛΑΣ ΑΕ"</f>
        <v>ANFARM ΕΛΛΑΣ ΑΕ</v>
      </c>
      <c r="C94" t="str">
        <f>"205870402"</f>
        <v>205870402</v>
      </c>
      <c r="D94" s="8" t="str">
        <f>"2802058704026"</f>
        <v>2802058704026</v>
      </c>
      <c r="E94" s="8" t="str">
        <f>"ESELAN GR CAPS 28x40MG"</f>
        <v>ESELAN GR CAPS 28x40MG</v>
      </c>
      <c r="F94" s="9">
        <v>10.51</v>
      </c>
      <c r="G94" s="8"/>
      <c r="H94" s="10">
        <v>0.05</v>
      </c>
      <c r="I94" s="8"/>
    </row>
    <row r="95" spans="1:9" x14ac:dyDescent="0.25">
      <c r="A95" s="1">
        <v>2802058701056</v>
      </c>
      <c r="B95" t="str">
        <f>"ANFARM ΕΛΛΑΣ ΑΕ"</f>
        <v>ANFARM ΕΛΛΑΣ ΑΕ</v>
      </c>
      <c r="C95" t="str">
        <f>"205870105"</f>
        <v>205870105</v>
      </c>
      <c r="D95" s="8" t="str">
        <f>"2802058701056"</f>
        <v>2802058701056</v>
      </c>
      <c r="E95" s="8" t="str">
        <f>"ESELAN GR CAPS 30x20MG"</f>
        <v>ESELAN GR CAPS 30x20MG</v>
      </c>
      <c r="F95" s="9">
        <v>6.4</v>
      </c>
      <c r="G95" s="8"/>
      <c r="H95" s="10">
        <v>0.05</v>
      </c>
      <c r="I95" s="8"/>
    </row>
    <row r="96" spans="1:9" x14ac:dyDescent="0.25">
      <c r="A96" s="1">
        <v>2802058704064</v>
      </c>
      <c r="B96" t="str">
        <f>"ANFARM ΕΛΛΑΣ ΑΕ"</f>
        <v>ANFARM ΕΛΛΑΣ ΑΕ</v>
      </c>
      <c r="C96" t="str">
        <f>"205870406"</f>
        <v>205870406</v>
      </c>
      <c r="D96" s="8" t="str">
        <f>"2802058704064"</f>
        <v>2802058704064</v>
      </c>
      <c r="E96" s="8" t="str">
        <f>"ESELAN GR CAPS 30x40MG"</f>
        <v>ESELAN GR CAPS 30x40MG</v>
      </c>
      <c r="F96" s="9">
        <v>11.27</v>
      </c>
      <c r="G96" s="8"/>
      <c r="H96" s="10">
        <v>0.05</v>
      </c>
      <c r="I96" s="8"/>
    </row>
    <row r="97" spans="1:9" x14ac:dyDescent="0.25">
      <c r="A97" s="1">
        <v>2803025004033</v>
      </c>
      <c r="B97" t="str">
        <f>"LAVIPHARM ACTIVE SERVICES MON. A.E.E."</f>
        <v>LAVIPHARM ACTIVE SERVICES MON. A.E.E.</v>
      </c>
      <c r="C97" t="str">
        <f>"6963"</f>
        <v>6963</v>
      </c>
      <c r="D97" s="8" t="str">
        <f>"2803025004033"</f>
        <v>2803025004033</v>
      </c>
      <c r="E97" s="8" t="str">
        <f>"ESLOREX OR.DISP.TABL.14x20MG"</f>
        <v>ESLOREX OR.DISP.TABL.14x20MG</v>
      </c>
      <c r="F97" s="9">
        <v>5.71</v>
      </c>
      <c r="G97" s="8"/>
      <c r="H97" s="10">
        <v>0.03</v>
      </c>
      <c r="I97" s="8"/>
    </row>
    <row r="98" spans="1:9" x14ac:dyDescent="0.25">
      <c r="A98" s="1">
        <v>2803148102029</v>
      </c>
      <c r="B98" t="str">
        <f>"BENNETT ΦΑΡΜΑΚΕΥΤΙΚΗ Α.Ε"</f>
        <v>BENNETT ΦΑΡΜΑΚΕΥΤΙΚΗ Α.Ε</v>
      </c>
      <c r="C98" t="str">
        <f>"314810202"</f>
        <v>314810202</v>
      </c>
      <c r="D98" s="8" t="str">
        <f>"2803148102029"</f>
        <v>2803148102029</v>
      </c>
      <c r="E98" s="8" t="str">
        <f>"ETIABEN XR PR.TABL.30x150MG"</f>
        <v>ETIABEN XR PR.TABL.30x150MG</v>
      </c>
      <c r="F98" s="9">
        <v>10.62</v>
      </c>
      <c r="G98" s="8"/>
      <c r="H98" s="10">
        <v>0.05</v>
      </c>
      <c r="I98" s="8"/>
    </row>
    <row r="99" spans="1:9" x14ac:dyDescent="0.25">
      <c r="A99" s="1">
        <v>2803148103026</v>
      </c>
      <c r="B99" t="str">
        <f>"BENNETT ΦΑΡΜΑΚΕΥΤΙΚΗ Α.Ε"</f>
        <v>BENNETT ΦΑΡΜΑΚΕΥΤΙΚΗ Α.Ε</v>
      </c>
      <c r="C99" t="str">
        <f>"314810302"</f>
        <v>314810302</v>
      </c>
      <c r="D99" s="8" t="str">
        <f>"2803148103026"</f>
        <v>2803148103026</v>
      </c>
      <c r="E99" s="8" t="str">
        <f>"ETIABEN XR PR.TABL.30x200MG"</f>
        <v>ETIABEN XR PR.TABL.30x200MG</v>
      </c>
      <c r="F99" s="9">
        <v>7.15</v>
      </c>
      <c r="G99" s="8"/>
      <c r="H99" s="10">
        <v>0.05</v>
      </c>
      <c r="I99" s="8"/>
    </row>
    <row r="100" spans="1:9" x14ac:dyDescent="0.25">
      <c r="A100" s="1">
        <v>2803148104023</v>
      </c>
      <c r="B100" t="str">
        <f>"BENNETT ΦΑΡΜΑΚΕΥΤΙΚΗ Α.Ε"</f>
        <v>BENNETT ΦΑΡΜΑΚΕΥΤΙΚΗ Α.Ε</v>
      </c>
      <c r="C100" t="str">
        <f>"314810402"</f>
        <v>314810402</v>
      </c>
      <c r="D100" s="8" t="str">
        <f>"2803148104023"</f>
        <v>2803148104023</v>
      </c>
      <c r="E100" s="8" t="str">
        <f>"ETIABEN XR PR.TABL.30x300MG"</f>
        <v>ETIABEN XR PR.TABL.30x300MG</v>
      </c>
      <c r="F100" s="9">
        <v>15.23</v>
      </c>
      <c r="G100" s="8"/>
      <c r="H100" s="10">
        <v>0.05</v>
      </c>
      <c r="I100" s="8"/>
    </row>
    <row r="101" spans="1:9" x14ac:dyDescent="0.25">
      <c r="A101" s="1">
        <v>2803148105020</v>
      </c>
      <c r="B101" t="str">
        <f>"BENNETT ΦΑΡΜΑΚΕΥΤΙΚΗ Α.Ε"</f>
        <v>BENNETT ΦΑΡΜΑΚΕΥΤΙΚΗ Α.Ε</v>
      </c>
      <c r="C101" t="str">
        <f>"314810502"</f>
        <v>314810502</v>
      </c>
      <c r="D101" s="8" t="str">
        <f>"2803148105020"</f>
        <v>2803148105020</v>
      </c>
      <c r="E101" s="8" t="str">
        <f>"ETIABEN XR PR.TABL.30x400MG"</f>
        <v>ETIABEN XR PR.TABL.30x400MG</v>
      </c>
      <c r="F101" s="9">
        <v>20.76</v>
      </c>
      <c r="G101" s="8"/>
      <c r="H101" s="10">
        <v>0.05</v>
      </c>
      <c r="I101" s="8"/>
    </row>
    <row r="102" spans="1:9" x14ac:dyDescent="0.25">
      <c r="A102" s="1">
        <v>2803148101022</v>
      </c>
      <c r="B102" t="str">
        <f>"BENNETT ΦΑΡΜΑΚΕΥΤΙΚΗ Α.Ε"</f>
        <v>BENNETT ΦΑΡΜΑΚΕΥΤΙΚΗ Α.Ε</v>
      </c>
      <c r="C102" t="str">
        <f>"314810102"</f>
        <v>314810102</v>
      </c>
      <c r="D102" s="8" t="str">
        <f>"2803148101022"</f>
        <v>2803148101022</v>
      </c>
      <c r="E102" s="8" t="str">
        <f>"ETIABEN XR PR.TABL.30x50MG"</f>
        <v>ETIABEN XR PR.TABL.30x50MG</v>
      </c>
      <c r="F102" s="9">
        <v>2.8</v>
      </c>
      <c r="G102" s="8"/>
      <c r="H102" s="10">
        <v>0.05</v>
      </c>
      <c r="I102" s="8"/>
    </row>
    <row r="103" spans="1:9" x14ac:dyDescent="0.25">
      <c r="A103" s="1">
        <v>2803095606014</v>
      </c>
      <c r="B103" t="str">
        <f>"GENEPHARM A.E."</f>
        <v>GENEPHARM A.E.</v>
      </c>
      <c r="C103" t="str">
        <f>"309560601"</f>
        <v>309560601</v>
      </c>
      <c r="D103" s="8" t="str">
        <f>"2803095606014"</f>
        <v>2803095606014</v>
      </c>
      <c r="E103" s="8" t="str">
        <f>"EXTEMENT CHEW.TABL. 4x100MG"</f>
        <v>EXTEMENT CHEW.TABL. 4x100MG</v>
      </c>
      <c r="F103" s="9">
        <v>10</v>
      </c>
      <c r="G103" s="8"/>
      <c r="H103" s="10">
        <v>0.05</v>
      </c>
      <c r="I103" s="8"/>
    </row>
    <row r="104" spans="1:9" x14ac:dyDescent="0.25">
      <c r="A104" s="1">
        <v>2803095605017</v>
      </c>
      <c r="B104" t="str">
        <f>"GENEPHARM A.E."</f>
        <v>GENEPHARM A.E.</v>
      </c>
      <c r="C104" t="str">
        <f>"309560501"</f>
        <v>309560501</v>
      </c>
      <c r="D104" s="8" t="str">
        <f>"2803095605017"</f>
        <v>2803095605017</v>
      </c>
      <c r="E104" s="8" t="str">
        <f>"EXTEMENT CHEW.TABL. 4x50MG"</f>
        <v>EXTEMENT CHEW.TABL. 4x50MG</v>
      </c>
      <c r="F104" s="9">
        <v>8</v>
      </c>
      <c r="G104" s="8"/>
      <c r="H104" s="10">
        <v>0.05</v>
      </c>
      <c r="I104" s="8"/>
    </row>
    <row r="105" spans="1:9" x14ac:dyDescent="0.25">
      <c r="A105" s="1">
        <v>2802313001013</v>
      </c>
      <c r="B105" t="str">
        <f>"ΚΟΠΕΡ ΑΕ"</f>
        <v>ΚΟΠΕΡ ΑΕ</v>
      </c>
      <c r="C105" t="str">
        <f>"231300101"</f>
        <v>231300101</v>
      </c>
      <c r="D105" s="8" t="str">
        <f>"2802313001013"</f>
        <v>2802313001013</v>
      </c>
      <c r="E105" s="8" t="str">
        <f>"EYETOBRIN 0,3% 5ML COLL"</f>
        <v>EYETOBRIN 0,3% 5ML COLL</v>
      </c>
      <c r="F105" s="9">
        <v>1.38</v>
      </c>
      <c r="G105" s="8"/>
      <c r="H105" s="10">
        <v>0.05</v>
      </c>
      <c r="I105" s="8"/>
    </row>
    <row r="106" spans="1:9" x14ac:dyDescent="0.25">
      <c r="A106" s="1">
        <v>2803147301089</v>
      </c>
      <c r="B106" t="str">
        <f>"GENEPHARM A.E."</f>
        <v>GENEPHARM A.E.</v>
      </c>
      <c r="C106" t="str">
        <f>"314730108"</f>
        <v>314730108</v>
      </c>
      <c r="D106" s="8" t="str">
        <f>"2803147301089"</f>
        <v>2803147301089</v>
      </c>
      <c r="E106" s="8" t="str">
        <f>"FEBUXOSTAT/GENEPHARM F.C.TABL.28x80MG"</f>
        <v>FEBUXOSTAT/GENEPHARM F.C.TABL.28x80MG</v>
      </c>
      <c r="F106" s="9">
        <v>11.81</v>
      </c>
      <c r="G106" s="8"/>
      <c r="H106" s="10">
        <v>0.05</v>
      </c>
      <c r="I106" s="8"/>
    </row>
    <row r="107" spans="1:9" x14ac:dyDescent="0.25">
      <c r="A107" s="1">
        <v>2802718601023</v>
      </c>
      <c r="B107" t="str">
        <f>"HELP A.B.E.E"</f>
        <v>HELP A.B.E.E</v>
      </c>
      <c r="C107" t="str">
        <f>"271860102"</f>
        <v>271860102</v>
      </c>
      <c r="D107" s="8" t="str">
        <f>"2802718601023"</f>
        <v>2802718601023</v>
      </c>
      <c r="E107" s="8" t="str">
        <f>"FENARAZE GEL 3% TUBX50GR"</f>
        <v>FENARAZE GEL 3% TUBX50GR</v>
      </c>
      <c r="F107" s="9">
        <v>24.99</v>
      </c>
      <c r="G107" s="8"/>
      <c r="H107" s="10">
        <v>0.04</v>
      </c>
      <c r="I107" s="8"/>
    </row>
    <row r="108" spans="1:9" x14ac:dyDescent="0.25">
      <c r="A108" s="1">
        <v>2803011201026</v>
      </c>
      <c r="B108" t="str">
        <f>"LIBYTEC ΦΑΡΜΑΚΕΥΤΙΚΗ A.E."</f>
        <v>LIBYTEC ΦΑΡΜΑΚΕΥΤΙΚΗ A.E.</v>
      </c>
      <c r="C108" t="str">
        <f>"18341"</f>
        <v>18341</v>
      </c>
      <c r="D108" s="8" t="str">
        <f>"2803011201026"</f>
        <v>2803011201026</v>
      </c>
      <c r="E108" s="8" t="str">
        <f>"FEROLIB PD.ORAL SOL SACHETS 30x300MG"</f>
        <v>FEROLIB PD.ORAL SOL SACHETS 30x300MG</v>
      </c>
      <c r="F108" s="9">
        <v>11.43</v>
      </c>
      <c r="G108" s="8"/>
      <c r="H108" s="10">
        <v>0.05</v>
      </c>
      <c r="I108" s="8"/>
    </row>
    <row r="109" spans="1:9" x14ac:dyDescent="0.25">
      <c r="A109" s="1">
        <v>2803006701012</v>
      </c>
      <c r="B109" t="str">
        <f>"MEDICAL PHARMAQUALITY A.E."</f>
        <v>MEDICAL PHARMAQUALITY A.E.</v>
      </c>
      <c r="C109" t="str">
        <f>"4320"</f>
        <v>4320</v>
      </c>
      <c r="D109" s="8" t="str">
        <f>"2803006701012"</f>
        <v>2803006701012</v>
      </c>
      <c r="E109" s="8" t="str">
        <f>"FERRELUC EFF.GRAN.SACHETS 10x695MG(80mg++)"</f>
        <v>FERRELUC EFF.GRAN.SACHETS 10x695MG(80mg++)</v>
      </c>
      <c r="F109" s="9">
        <v>7.4</v>
      </c>
      <c r="G109" s="8"/>
      <c r="H109" s="10">
        <v>0.05</v>
      </c>
      <c r="I109" s="8"/>
    </row>
    <row r="110" spans="1:9" x14ac:dyDescent="0.25">
      <c r="A110" s="1">
        <v>2803006701043</v>
      </c>
      <c r="B110" t="str">
        <f>"MEDICAL PHARMAQUALITY A.E."</f>
        <v>MEDICAL PHARMAQUALITY A.E.</v>
      </c>
      <c r="C110" t="str">
        <f>"300670104"</f>
        <v>300670104</v>
      </c>
      <c r="D110" s="8" t="str">
        <f>"2803006701043"</f>
        <v>2803006701043</v>
      </c>
      <c r="E110" s="8" t="str">
        <f>"FERRELUC EFF.GRAN.SACHETS 30x695MG(80mg++)"</f>
        <v>FERRELUC EFF.GRAN.SACHETS 30x695MG(80mg++)</v>
      </c>
      <c r="F110" s="9">
        <v>19.54</v>
      </c>
      <c r="G110" s="8"/>
      <c r="H110" s="10">
        <v>0.05</v>
      </c>
      <c r="I110" s="8"/>
    </row>
    <row r="111" spans="1:9" x14ac:dyDescent="0.25">
      <c r="A111" s="1">
        <v>2800690301016</v>
      </c>
      <c r="B111" t="str">
        <f>"ADELCO-ΧΡΩΜΑΤΟΥΡΓΕΙΑ ΑΘΗΝΩΝ Α.Ε."</f>
        <v>ADELCO-ΧΡΩΜΑΤΟΥΡΓΕΙΑ ΑΘΗΝΩΝ Α.Ε.</v>
      </c>
      <c r="C111" t="str">
        <f>"01295"</f>
        <v>01295</v>
      </c>
      <c r="D111" s="8" t="str">
        <f>"2800690301016"</f>
        <v>2800690301016</v>
      </c>
      <c r="E111" s="8" t="str">
        <f>"FILICINE 30 TABL 5MG"</f>
        <v>FILICINE 30 TABL 5MG</v>
      </c>
      <c r="F111" s="9">
        <v>3.51</v>
      </c>
      <c r="G111" s="8"/>
      <c r="H111" s="10">
        <v>0.05</v>
      </c>
      <c r="I111" s="8"/>
    </row>
    <row r="112" spans="1:9" x14ac:dyDescent="0.25">
      <c r="A112" s="1">
        <v>2802970102016</v>
      </c>
      <c r="B112" t="str">
        <f>"LIBYTEC ΦΑΡΜΑΚΕΥΤΙΚΗ A.E."</f>
        <v>LIBYTEC ΦΑΡΜΑΚΕΥΤΙΚΗ A.E.</v>
      </c>
      <c r="C112" t="str">
        <f>"297010201"</f>
        <v>297010201</v>
      </c>
      <c r="D112" s="8" t="str">
        <f>"2802970102016"</f>
        <v>2802970102016</v>
      </c>
      <c r="E112" s="8" t="str">
        <f>"FLAXIDEL F.C.TABL. 5x500MG"</f>
        <v>FLAXIDEL F.C.TABL. 5x500MG</v>
      </c>
      <c r="F112" s="9">
        <v>2.42</v>
      </c>
      <c r="G112" s="8"/>
      <c r="H112" s="10">
        <v>0.05</v>
      </c>
      <c r="I112" s="8"/>
    </row>
    <row r="113" spans="1:9" x14ac:dyDescent="0.25">
      <c r="A113" s="1">
        <v>2802538703013</v>
      </c>
      <c r="B113" t="str">
        <f>"MEDICAIR BIOSCIENCE SA"</f>
        <v>MEDICAIR BIOSCIENCE SA</v>
      </c>
      <c r="C113" t="str">
        <f>"253870301"</f>
        <v>253870301</v>
      </c>
      <c r="D113" s="8" t="str">
        <f>"2802538703013"</f>
        <v>2802538703013</v>
      </c>
      <c r="E113" s="8" t="str">
        <f>"FLIXOCORT INH.SUSP.250MCG x 120DOSES"</f>
        <v>FLIXOCORT INH.SUSP.250MCG x 120DOSES</v>
      </c>
      <c r="F113" s="9">
        <v>9.9</v>
      </c>
      <c r="G113" s="8"/>
      <c r="H113" s="10">
        <v>0.04</v>
      </c>
      <c r="I113" s="8"/>
    </row>
    <row r="114" spans="1:9" x14ac:dyDescent="0.25">
      <c r="A114" s="1">
        <v>2802084001021</v>
      </c>
      <c r="B114" t="str">
        <f>"VIVAX ΦΑΡΜΑΚΕΥΤΙΚΗ ΕΠΕ"</f>
        <v>VIVAX ΦΑΡΜΑΚΕΥΤΙΚΗ ΕΠΕ</v>
      </c>
      <c r="C114" t="str">
        <f>"6919"</f>
        <v>6919</v>
      </c>
      <c r="D114" s="8" t="str">
        <f>"2802084001021"</f>
        <v>2802084001021</v>
      </c>
      <c r="E114" s="8" t="str">
        <f>"FLOCIPRIN F.C.TABL. 20x500MG"</f>
        <v>FLOCIPRIN F.C.TABL. 20x500MG</v>
      </c>
      <c r="F114" s="9">
        <v>5.71</v>
      </c>
      <c r="G114" s="8"/>
      <c r="H114" s="10">
        <v>0.05</v>
      </c>
      <c r="I114" s="8"/>
    </row>
    <row r="115" spans="1:9" x14ac:dyDescent="0.25">
      <c r="A115" s="1">
        <v>2802087001028</v>
      </c>
      <c r="B115" t="str">
        <f t="shared" ref="B115:B120" si="0">"ANFARM ΕΛΛΑΣ ΑΕ"</f>
        <v>ANFARM ΕΛΛΑΣ ΑΕ</v>
      </c>
      <c r="C115" t="str">
        <f>"208700102"</f>
        <v>208700102</v>
      </c>
      <c r="D115" s="8" t="str">
        <f>"2802087001028"</f>
        <v>2802087001028</v>
      </c>
      <c r="E115" s="8" t="str">
        <f>"FLONITAL CAPS 28x20MG"</f>
        <v>FLONITAL CAPS 28x20MG</v>
      </c>
      <c r="F115" s="9">
        <v>5.2</v>
      </c>
      <c r="G115" s="8"/>
      <c r="H115" s="10">
        <v>0.05</v>
      </c>
      <c r="I115" s="8"/>
    </row>
    <row r="116" spans="1:9" x14ac:dyDescent="0.25">
      <c r="A116" s="1">
        <v>2802769501013</v>
      </c>
      <c r="B116" t="str">
        <f t="shared" si="0"/>
        <v>ANFARM ΕΛΛΑΣ ΑΕ</v>
      </c>
      <c r="C116" t="str">
        <f>"276950101"</f>
        <v>276950101</v>
      </c>
      <c r="D116" s="8" t="str">
        <f>"2802769501013"</f>
        <v>2802769501013</v>
      </c>
      <c r="E116" s="8" t="str">
        <f>"FLUCANID CAPS 7x100MG"</f>
        <v>FLUCANID CAPS 7x100MG</v>
      </c>
      <c r="F116" s="9">
        <v>6.17</v>
      </c>
      <c r="G116" s="8"/>
      <c r="H116" s="10">
        <v>0.05</v>
      </c>
      <c r="I116" s="8"/>
    </row>
    <row r="117" spans="1:9" x14ac:dyDescent="0.25">
      <c r="A117" s="1">
        <v>2802769503017</v>
      </c>
      <c r="B117" t="str">
        <f t="shared" si="0"/>
        <v>ANFARM ΕΛΛΑΣ ΑΕ</v>
      </c>
      <c r="C117" t="str">
        <f>"276950301"</f>
        <v>276950301</v>
      </c>
      <c r="D117" s="8" t="str">
        <f>"2802769503017"</f>
        <v>2802769503017</v>
      </c>
      <c r="E117" s="8" t="str">
        <f>"FLUCANID CAPS 7x200MG"</f>
        <v>FLUCANID CAPS 7x200MG</v>
      </c>
      <c r="F117" s="9">
        <v>10.06</v>
      </c>
      <c r="G117" s="8"/>
      <c r="H117" s="10">
        <v>0.05</v>
      </c>
      <c r="I117" s="8"/>
    </row>
    <row r="118" spans="1:9" x14ac:dyDescent="0.25">
      <c r="A118" s="1">
        <v>2801647001010</v>
      </c>
      <c r="B118" t="str">
        <f t="shared" si="0"/>
        <v>ANFARM ΕΛΛΑΣ ΑΕ</v>
      </c>
      <c r="C118" t="str">
        <f>"164700101"</f>
        <v>164700101</v>
      </c>
      <c r="D118" s="8" t="str">
        <f>"2801647001010"</f>
        <v>2801647001010</v>
      </c>
      <c r="E118" s="8" t="str">
        <f>"FLUSEMINAL F.C.TABL. 14x400MG"</f>
        <v>FLUSEMINAL F.C.TABL. 14x400MG</v>
      </c>
      <c r="F118" s="9">
        <v>3.25</v>
      </c>
      <c r="G118" s="8"/>
      <c r="H118" s="10">
        <v>0.05</v>
      </c>
      <c r="I118" s="8"/>
    </row>
    <row r="119" spans="1:9" x14ac:dyDescent="0.25">
      <c r="A119" s="1">
        <v>2802099402035</v>
      </c>
      <c r="B119" t="str">
        <f t="shared" si="0"/>
        <v>ANFARM ΕΛΛΑΣ ΑΕ</v>
      </c>
      <c r="C119" t="str">
        <f>"209940203"</f>
        <v>209940203</v>
      </c>
      <c r="D119" s="8" t="str">
        <f>"2802099402035"</f>
        <v>2802099402035</v>
      </c>
      <c r="E119" s="8" t="str">
        <f>"FLUSENIL CAPS 14x150MG"</f>
        <v>FLUSENIL CAPS 14x150MG</v>
      </c>
      <c r="F119" s="9">
        <v>14.7</v>
      </c>
      <c r="G119" s="8"/>
      <c r="H119" s="10">
        <v>0.05</v>
      </c>
      <c r="I119" s="8"/>
    </row>
    <row r="120" spans="1:9" x14ac:dyDescent="0.25">
      <c r="A120" s="1">
        <v>2802099402028</v>
      </c>
      <c r="B120" t="str">
        <f t="shared" si="0"/>
        <v>ANFARM ΕΛΛΑΣ ΑΕ</v>
      </c>
      <c r="C120" t="str">
        <f>"209940202"</f>
        <v>209940202</v>
      </c>
      <c r="D120" s="8" t="str">
        <f>"2802099402028"</f>
        <v>2802099402028</v>
      </c>
      <c r="E120" s="8" t="str">
        <f>"FLUSENIL CAPS 7x150MG"</f>
        <v>FLUSENIL CAPS 7x150MG</v>
      </c>
      <c r="F120" s="9">
        <v>8.18</v>
      </c>
      <c r="G120" s="8"/>
      <c r="H120" s="10">
        <v>0.05</v>
      </c>
      <c r="I120" s="8"/>
    </row>
    <row r="121" spans="1:9" x14ac:dyDescent="0.25">
      <c r="A121" s="1">
        <v>2802515002023</v>
      </c>
      <c r="B121" t="str">
        <f>"GENEPHARM A.E."</f>
        <v>GENEPHARM A.E.</v>
      </c>
      <c r="C121" t="str">
        <f>"22999"</f>
        <v>22999</v>
      </c>
      <c r="D121" s="8" t="str">
        <f>"2802515002023"</f>
        <v>2802515002023</v>
      </c>
      <c r="E121" s="8" t="str">
        <f>"FOSALEN TABL. 4x70MG"</f>
        <v>FOSALEN TABL. 4x70MG</v>
      </c>
      <c r="F121" s="9">
        <v>4.1399999999999997</v>
      </c>
      <c r="G121" s="8"/>
      <c r="H121" s="10">
        <v>0.05</v>
      </c>
      <c r="I121" s="8"/>
    </row>
    <row r="122" spans="1:9" x14ac:dyDescent="0.25">
      <c r="A122" s="1">
        <v>2802479101022</v>
      </c>
      <c r="B122" t="str">
        <f>"MEDIHELM AE"</f>
        <v>MEDIHELM AE</v>
      </c>
      <c r="C122" t="str">
        <f>"247910102"</f>
        <v>247910102</v>
      </c>
      <c r="D122" s="8" t="str">
        <f>"2802479101022"</f>
        <v>2802479101022</v>
      </c>
      <c r="E122" s="8" t="str">
        <f>"FUSIBET CREAM (2+0,1)% 30GR"</f>
        <v>FUSIBET CREAM (2+0,1)% 30GR</v>
      </c>
      <c r="F122" s="9">
        <v>3.54</v>
      </c>
      <c r="G122" s="8"/>
      <c r="H122" s="10">
        <v>0.05</v>
      </c>
      <c r="I122" s="8"/>
    </row>
    <row r="123" spans="1:9" s="12" customFormat="1" x14ac:dyDescent="0.25">
      <c r="A123" s="11">
        <v>2803182901015</v>
      </c>
      <c r="B123" s="12" t="str">
        <f>"PROMOPHARMA A.E."</f>
        <v>PROMOPHARMA A.E.</v>
      </c>
      <c r="C123" s="12" t="str">
        <f>"318290101"</f>
        <v>318290101</v>
      </c>
      <c r="D123" s="13" t="str">
        <f>"2803182901015"</f>
        <v>2803182901015</v>
      </c>
      <c r="E123" s="13" t="str">
        <f>"FUSIDIC ACID/PROMOPHARMA CREAM 2% 15g"</f>
        <v>FUSIDIC ACID/PROMOPHARMA CREAM 2% 15g</v>
      </c>
      <c r="F123" s="14">
        <v>1.57</v>
      </c>
      <c r="G123" s="13"/>
      <c r="H123" s="15">
        <v>7.0000000000000007E-2</v>
      </c>
      <c r="I123" s="13" t="s">
        <v>10</v>
      </c>
    </row>
    <row r="124" spans="1:9" x14ac:dyDescent="0.25">
      <c r="A124" s="1">
        <v>2802616101014</v>
      </c>
      <c r="B124" t="str">
        <f>"TARGET ΦΑΡΜΑ ΜΟΝ.ΕΠΕ"</f>
        <v>TARGET ΦΑΡΜΑ ΜΟΝ.ΕΠΕ</v>
      </c>
      <c r="C124" t="str">
        <f>"261610101"</f>
        <v>261610101</v>
      </c>
      <c r="D124" s="8" t="str">
        <f>"2802616101014"</f>
        <v>2802616101014</v>
      </c>
      <c r="E124" s="8" t="str">
        <f>"FUSIDIC/TARGET CREAM 2% 15GR"</f>
        <v>FUSIDIC/TARGET CREAM 2% 15GR</v>
      </c>
      <c r="F124" s="9">
        <v>1.58</v>
      </c>
      <c r="G124" s="8"/>
      <c r="H124" s="10">
        <v>0.05</v>
      </c>
      <c r="I124" s="8"/>
    </row>
    <row r="125" spans="1:9" x14ac:dyDescent="0.25">
      <c r="A125" s="1">
        <v>2803126502025</v>
      </c>
      <c r="B125" t="str">
        <f>"GENEPHARM A.E."</f>
        <v>GENEPHARM A.E.</v>
      </c>
      <c r="C125" t="str">
        <f>"312650202"</f>
        <v>312650202</v>
      </c>
      <c r="D125" s="8" t="str">
        <f>"2803126502025"</f>
        <v>2803126502025</v>
      </c>
      <c r="E125" s="8" t="str">
        <f>"GENEMENT F.C.TABL. 28x5MG"</f>
        <v>GENEMENT F.C.TABL. 28x5MG</v>
      </c>
      <c r="F125" s="9">
        <v>39.56</v>
      </c>
      <c r="G125" s="8"/>
      <c r="H125" s="10">
        <v>0.05</v>
      </c>
      <c r="I125" s="8"/>
    </row>
    <row r="126" spans="1:9" x14ac:dyDescent="0.25">
      <c r="A126" s="1">
        <v>2803126503015</v>
      </c>
      <c r="B126" t="str">
        <f>"GENEPHARM A.E."</f>
        <v>GENEPHARM A.E.</v>
      </c>
      <c r="C126" t="str">
        <f>"312650301"</f>
        <v>312650301</v>
      </c>
      <c r="D126" s="8" t="str">
        <f>"2803126503015"</f>
        <v>2803126503015</v>
      </c>
      <c r="E126" s="8" t="str">
        <f>"GENEMENT F.C.TABL. 4x10MG"</f>
        <v>GENEMENT F.C.TABL. 4x10MG</v>
      </c>
      <c r="F126" s="9">
        <v>17.920000000000002</v>
      </c>
      <c r="G126" s="8"/>
      <c r="H126" s="10">
        <v>0.05</v>
      </c>
      <c r="I126" s="8"/>
    </row>
    <row r="127" spans="1:9" x14ac:dyDescent="0.25">
      <c r="A127" s="1">
        <v>2803126504029</v>
      </c>
      <c r="B127" t="str">
        <f>"GENEPHARM A.E."</f>
        <v>GENEPHARM A.E.</v>
      </c>
      <c r="C127" t="str">
        <f>"312650402"</f>
        <v>312650402</v>
      </c>
      <c r="D127" s="8" t="str">
        <f>"2803126504029"</f>
        <v>2803126504029</v>
      </c>
      <c r="E127" s="8" t="str">
        <f>"GENEMENT F.C.TABL. 4x20MG"</f>
        <v>GENEMENT F.C.TABL. 4x20MG</v>
      </c>
      <c r="F127" s="9">
        <v>18.53</v>
      </c>
      <c r="G127" s="8"/>
      <c r="H127" s="10">
        <v>0.05</v>
      </c>
      <c r="I127" s="8"/>
    </row>
    <row r="128" spans="1:9" x14ac:dyDescent="0.25">
      <c r="A128" s="1">
        <v>2802021101012</v>
      </c>
      <c r="B128" t="str">
        <f>"HELP A.B.E.E"</f>
        <v>HELP A.B.E.E</v>
      </c>
      <c r="C128" t="str">
        <f>"202110101"</f>
        <v>202110101</v>
      </c>
      <c r="D128" s="8" t="str">
        <f>"2802021101012"</f>
        <v>2802021101012</v>
      </c>
      <c r="E128" s="8" t="str">
        <f>"GLAVERAL GR CAPS 14x20MG"</f>
        <v>GLAVERAL GR CAPS 14x20MG</v>
      </c>
      <c r="F128" s="9">
        <v>2.72</v>
      </c>
      <c r="G128" s="8"/>
      <c r="H128" s="10">
        <v>0.04</v>
      </c>
      <c r="I128" s="8"/>
    </row>
    <row r="129" spans="1:9" x14ac:dyDescent="0.25">
      <c r="A129" s="1">
        <v>2802021101029</v>
      </c>
      <c r="B129" t="str">
        <f>"HELP A.B.E.E"</f>
        <v>HELP A.B.E.E</v>
      </c>
      <c r="C129" t="str">
        <f>"202110102"</f>
        <v>202110102</v>
      </c>
      <c r="D129" s="8" t="str">
        <f>"2802021101029"</f>
        <v>2802021101029</v>
      </c>
      <c r="E129" s="8" t="str">
        <f>"GLAVERAL GR CAPS 28x20MG"</f>
        <v>GLAVERAL GR CAPS 28x20MG</v>
      </c>
      <c r="F129" s="9">
        <v>5.97</v>
      </c>
      <c r="G129" s="8"/>
      <c r="H129" s="10">
        <v>0.04</v>
      </c>
      <c r="I129" s="8"/>
    </row>
    <row r="130" spans="1:9" x14ac:dyDescent="0.25">
      <c r="A130" s="1">
        <v>2802021101050</v>
      </c>
      <c r="B130" t="str">
        <f>"HELP A.B.E.E"</f>
        <v>HELP A.B.E.E</v>
      </c>
      <c r="C130" t="str">
        <f>"202110105"</f>
        <v>202110105</v>
      </c>
      <c r="D130" s="8" t="str">
        <f>"2802021101050"</f>
        <v>2802021101050</v>
      </c>
      <c r="E130" s="8" t="str">
        <f>"GLAVERAL GR CAPS 30x20MG"</f>
        <v>GLAVERAL GR CAPS 30x20MG</v>
      </c>
      <c r="F130" s="9">
        <v>6.4</v>
      </c>
      <c r="G130" s="8"/>
      <c r="H130" s="10">
        <v>0.04</v>
      </c>
      <c r="I130" s="8"/>
    </row>
    <row r="131" spans="1:9" x14ac:dyDescent="0.25">
      <c r="A131" s="1">
        <v>2802021101074</v>
      </c>
      <c r="B131" t="str">
        <f>"HELP A.B.E.E"</f>
        <v>HELP A.B.E.E</v>
      </c>
      <c r="C131" t="str">
        <f>"202110107"</f>
        <v>202110107</v>
      </c>
      <c r="D131" s="8" t="str">
        <f>"2802021101074"</f>
        <v>2802021101074</v>
      </c>
      <c r="E131" s="8" t="str">
        <f>"GLAVERAL GR CAPS 60x20MG"</f>
        <v>GLAVERAL GR CAPS 60x20MG</v>
      </c>
      <c r="F131" s="9">
        <v>11.27</v>
      </c>
      <c r="G131" s="8"/>
      <c r="H131" s="10">
        <v>0.04</v>
      </c>
      <c r="I131" s="8"/>
    </row>
    <row r="132" spans="1:9" x14ac:dyDescent="0.25">
      <c r="A132" s="1">
        <v>2802812803026</v>
      </c>
      <c r="B132" t="str">
        <f>"MEDICAIR BIOSCIENCE SA"</f>
        <v>MEDICAIR BIOSCIENCE SA</v>
      </c>
      <c r="C132" t="str">
        <f>"20940"</f>
        <v>20940</v>
      </c>
      <c r="D132" s="8" t="str">
        <f>"2802812803026"</f>
        <v>2802812803026</v>
      </c>
      <c r="E132" s="8" t="str">
        <f>"GLUCOFORMIN ORAL SOL 850MG/5ML 300ML"</f>
        <v>GLUCOFORMIN ORAL SOL 850MG/5ML 300ML</v>
      </c>
      <c r="F132" s="9">
        <v>8.51</v>
      </c>
      <c r="G132" s="8"/>
      <c r="H132" s="10">
        <v>0.04</v>
      </c>
      <c r="I132" s="8"/>
    </row>
    <row r="133" spans="1:9" x14ac:dyDescent="0.25">
      <c r="A133" s="1">
        <v>2802012602016</v>
      </c>
      <c r="B133" t="str">
        <f>"GENEPHARM A.E."</f>
        <v>GENEPHARM A.E.</v>
      </c>
      <c r="C133" t="str">
        <f>"01551"</f>
        <v>01551</v>
      </c>
      <c r="D133" s="8" t="str">
        <f>"2802012602016"</f>
        <v>2802012602016</v>
      </c>
      <c r="E133" s="8" t="str">
        <f>"GRENIS-CIPRO F.C.TABL. 10x500MG"</f>
        <v>GRENIS-CIPRO F.C.TABL. 10x500MG</v>
      </c>
      <c r="F133" s="9">
        <v>3.24</v>
      </c>
      <c r="G133" s="8"/>
      <c r="H133" s="10">
        <v>0.05</v>
      </c>
      <c r="I133" s="8"/>
    </row>
    <row r="134" spans="1:9" x14ac:dyDescent="0.25">
      <c r="A134" s="1">
        <v>2803033001017</v>
      </c>
      <c r="B134" t="str">
        <f>"GENEPHARM A.E."</f>
        <v>GENEPHARM A.E.</v>
      </c>
      <c r="C134" t="str">
        <f>"9159"</f>
        <v>9159</v>
      </c>
      <c r="D134" s="8" t="str">
        <f>"2803033001017"</f>
        <v>2803033001017</v>
      </c>
      <c r="E134" s="8" t="str">
        <f>"GROFER EFF.GRAN.SACH.10x695MG(80MGFE++)"</f>
        <v>GROFER EFF.GRAN.SACH.10x695MG(80MGFE++)</v>
      </c>
      <c r="F134" s="9">
        <v>7.4</v>
      </c>
      <c r="G134" s="8"/>
      <c r="H134" s="10">
        <v>0.05</v>
      </c>
      <c r="I134" s="8"/>
    </row>
    <row r="135" spans="1:9" x14ac:dyDescent="0.25">
      <c r="A135" s="1">
        <v>2803145802014</v>
      </c>
      <c r="B135" t="str">
        <f>"MEDICAL PHARMAQUALITY A.E."</f>
        <v>MEDICAL PHARMAQUALITY A.E.</v>
      </c>
      <c r="C135" t="str">
        <f>"314580201"</f>
        <v>314580201</v>
      </c>
      <c r="D135" s="8" t="str">
        <f>"2803145802014"</f>
        <v>2803145802014</v>
      </c>
      <c r="E135" s="8" t="str">
        <f>"GROSERA TABL. 28x10MG"</f>
        <v>GROSERA TABL. 28x10MG</v>
      </c>
      <c r="F135" s="9">
        <v>9.01</v>
      </c>
      <c r="G135" s="8"/>
      <c r="H135" s="10">
        <v>0.05</v>
      </c>
      <c r="I135" s="8"/>
    </row>
    <row r="136" spans="1:9" x14ac:dyDescent="0.25">
      <c r="A136" s="1">
        <v>2803145803011</v>
      </c>
      <c r="B136" t="str">
        <f>"MEDICAL PHARMAQUALITY A.E."</f>
        <v>MEDICAL PHARMAQUALITY A.E.</v>
      </c>
      <c r="C136" t="str">
        <f>"314580301"</f>
        <v>314580301</v>
      </c>
      <c r="D136" s="8" t="str">
        <f>"2803145803011"</f>
        <v>2803145803011</v>
      </c>
      <c r="E136" s="8" t="str">
        <f>"GROSERA TABL. 28x20MG"</f>
        <v>GROSERA TABL. 28x20MG</v>
      </c>
      <c r="F136" s="9">
        <v>12.69</v>
      </c>
      <c r="G136" s="8"/>
      <c r="H136" s="10">
        <v>0.05</v>
      </c>
      <c r="I136" s="8"/>
    </row>
    <row r="137" spans="1:9" x14ac:dyDescent="0.25">
      <c r="A137" s="1">
        <v>2803145801017</v>
      </c>
      <c r="B137" t="str">
        <f>"MEDICAL PHARMAQUALITY A.E."</f>
        <v>MEDICAL PHARMAQUALITY A.E.</v>
      </c>
      <c r="C137" t="str">
        <f>"314580101"</f>
        <v>314580101</v>
      </c>
      <c r="D137" s="8" t="str">
        <f>"2803145801017"</f>
        <v>2803145801017</v>
      </c>
      <c r="E137" s="8" t="str">
        <f>"GROSERA TABL. 28x5MG"</f>
        <v>GROSERA TABL. 28x5MG</v>
      </c>
      <c r="F137" s="9">
        <v>4.83</v>
      </c>
      <c r="G137" s="8"/>
      <c r="H137" s="10">
        <v>0.05</v>
      </c>
      <c r="I137" s="8"/>
    </row>
    <row r="138" spans="1:9" x14ac:dyDescent="0.25">
      <c r="A138" s="1">
        <v>2802892801066</v>
      </c>
      <c r="B138" t="str">
        <f>"LAVIPHARM ACTIVE SERVICES MON. A.E.E."</f>
        <v>LAVIPHARM ACTIVE SERVICES MON. A.E.E.</v>
      </c>
      <c r="C138" t="str">
        <f>"289280106"</f>
        <v>289280106</v>
      </c>
      <c r="D138" s="8" t="str">
        <f>"2802892801066"</f>
        <v>2802892801066</v>
      </c>
      <c r="E138" s="8" t="str">
        <f>"HELIDES GR CAPS 28x20MG"</f>
        <v>HELIDES GR CAPS 28x20MG</v>
      </c>
      <c r="F138" s="9">
        <v>3.53</v>
      </c>
      <c r="G138" s="8"/>
      <c r="H138" s="10">
        <v>0.03</v>
      </c>
      <c r="I138" s="8"/>
    </row>
    <row r="139" spans="1:9" x14ac:dyDescent="0.25">
      <c r="A139" s="1">
        <v>2802892802063</v>
      </c>
      <c r="B139" t="str">
        <f>"LAVIPHARM ACTIVE SERVICES MON. A.E.E."</f>
        <v>LAVIPHARM ACTIVE SERVICES MON. A.E.E.</v>
      </c>
      <c r="C139" t="str">
        <f>"289280206"</f>
        <v>289280206</v>
      </c>
      <c r="D139" s="8" t="str">
        <f>"2802892802063"</f>
        <v>2802892802063</v>
      </c>
      <c r="E139" s="8" t="str">
        <f>"HELIDES GR CAPS 28x40MG"</f>
        <v>HELIDES GR CAPS 28x40MG</v>
      </c>
      <c r="F139" s="9">
        <v>4.1500000000000004</v>
      </c>
      <c r="G139" s="8"/>
      <c r="H139" s="10">
        <v>0.03</v>
      </c>
      <c r="I139" s="8"/>
    </row>
    <row r="140" spans="1:9" x14ac:dyDescent="0.25">
      <c r="A140" s="1">
        <v>2803135802031</v>
      </c>
      <c r="B140" t="str">
        <f t="shared" ref="B140:B146" si="1">"DEMO  ABEE"</f>
        <v>DEMO  ABEE</v>
      </c>
      <c r="C140" t="str">
        <f>"313580203"</f>
        <v>313580203</v>
      </c>
      <c r="D140" s="8" t="str">
        <f>"2803135802031"</f>
        <v>2803135802031</v>
      </c>
      <c r="E140" s="8" t="str">
        <f>"HOLESTATIN F.C.TABL. 30x10MG"</f>
        <v>HOLESTATIN F.C.TABL. 30x10MG</v>
      </c>
      <c r="F140" s="9">
        <v>9.66</v>
      </c>
      <c r="G140" s="8"/>
      <c r="H140" s="10">
        <v>0.05</v>
      </c>
      <c r="I140" s="8"/>
    </row>
    <row r="141" spans="1:9" x14ac:dyDescent="0.25">
      <c r="A141" s="1">
        <v>2803135803038</v>
      </c>
      <c r="B141" t="str">
        <f t="shared" si="1"/>
        <v>DEMO  ABEE</v>
      </c>
      <c r="C141" t="str">
        <f>"313580303"</f>
        <v>313580303</v>
      </c>
      <c r="D141" s="8" t="str">
        <f>"2803135803038"</f>
        <v>2803135803038</v>
      </c>
      <c r="E141" s="8" t="str">
        <f>"HOLESTATIN F.C.TABL. 30x20MG"</f>
        <v>HOLESTATIN F.C.TABL. 30x20MG</v>
      </c>
      <c r="F141" s="9">
        <v>13.61</v>
      </c>
      <c r="G141" s="8"/>
      <c r="H141" s="10">
        <v>0.05</v>
      </c>
      <c r="I141" s="8"/>
    </row>
    <row r="142" spans="1:9" x14ac:dyDescent="0.25">
      <c r="A142" s="1">
        <v>2803135804035</v>
      </c>
      <c r="B142" t="str">
        <f t="shared" si="1"/>
        <v>DEMO  ABEE</v>
      </c>
      <c r="C142" t="str">
        <f>"313580403"</f>
        <v>313580403</v>
      </c>
      <c r="D142" s="8" t="str">
        <f>"2803135804035"</f>
        <v>2803135804035</v>
      </c>
      <c r="E142" s="8" t="str">
        <f>"HOLESTATIN F.C.TABL. 30x40MG"</f>
        <v>HOLESTATIN F.C.TABL. 30x40MG</v>
      </c>
      <c r="F142" s="9">
        <v>16.89</v>
      </c>
      <c r="G142" s="8"/>
      <c r="H142" s="10">
        <v>0.05</v>
      </c>
      <c r="I142" s="8"/>
    </row>
    <row r="143" spans="1:9" x14ac:dyDescent="0.25">
      <c r="A143" s="1">
        <v>2803135801034</v>
      </c>
      <c r="B143" t="str">
        <f t="shared" si="1"/>
        <v>DEMO  ABEE</v>
      </c>
      <c r="C143" t="str">
        <f>"313580103"</f>
        <v>313580103</v>
      </c>
      <c r="D143" s="8" t="str">
        <f>"2803135801034"</f>
        <v>2803135801034</v>
      </c>
      <c r="E143" s="8" t="str">
        <f>"HOLESTATIN F.C.TABL. 30x5MG"</f>
        <v>HOLESTATIN F.C.TABL. 30x5MG</v>
      </c>
      <c r="F143" s="9">
        <v>5.19</v>
      </c>
      <c r="G143" s="8"/>
      <c r="H143" s="10">
        <v>0.05</v>
      </c>
      <c r="I143" s="8"/>
    </row>
    <row r="144" spans="1:9" x14ac:dyDescent="0.25">
      <c r="A144" s="1">
        <v>2802692603013</v>
      </c>
      <c r="B144" t="str">
        <f t="shared" si="1"/>
        <v>DEMO  ABEE</v>
      </c>
      <c r="C144" t="str">
        <f>"269260301"</f>
        <v>269260301</v>
      </c>
      <c r="D144" s="8" t="str">
        <f>"2802692603013"</f>
        <v>2802692603013</v>
      </c>
      <c r="E144" s="8" t="str">
        <f>"HOLISTEN F.C.TABL. 14x40MG"</f>
        <v>HOLISTEN F.C.TABL. 14x40MG</v>
      </c>
      <c r="F144" s="9">
        <v>3.3</v>
      </c>
      <c r="G144" s="8"/>
      <c r="H144" s="10">
        <v>0.05</v>
      </c>
      <c r="I144" s="8"/>
    </row>
    <row r="145" spans="1:9" x14ac:dyDescent="0.25">
      <c r="A145" s="1">
        <v>2802692601040</v>
      </c>
      <c r="B145" t="str">
        <f t="shared" si="1"/>
        <v>DEMO  ABEE</v>
      </c>
      <c r="C145" t="str">
        <f>"3982"</f>
        <v>3982</v>
      </c>
      <c r="D145" s="8" t="str">
        <f>"2802692601040"</f>
        <v>2802692601040</v>
      </c>
      <c r="E145" s="8" t="str">
        <f>"HOLISTEN F.C.TABL. 30x10MG"</f>
        <v>HOLISTEN F.C.TABL. 30x10MG</v>
      </c>
      <c r="F145" s="9">
        <v>5.7</v>
      </c>
      <c r="G145" s="8"/>
      <c r="H145" s="10">
        <v>0.05</v>
      </c>
      <c r="I145" s="8"/>
    </row>
    <row r="146" spans="1:9" x14ac:dyDescent="0.25">
      <c r="A146" s="1">
        <v>2802692602047</v>
      </c>
      <c r="B146" t="str">
        <f t="shared" si="1"/>
        <v>DEMO  ABEE</v>
      </c>
      <c r="C146" t="str">
        <f>"4759"</f>
        <v>4759</v>
      </c>
      <c r="D146" s="8" t="str">
        <f>"2802692602047"</f>
        <v>2802692602047</v>
      </c>
      <c r="E146" s="8" t="str">
        <f>"HOLISTEN F.C.TABL. 30x20MG"</f>
        <v>HOLISTEN F.C.TABL. 30x20MG</v>
      </c>
      <c r="F146" s="9">
        <v>6.23</v>
      </c>
      <c r="G146" s="8"/>
      <c r="H146" s="10">
        <v>0.05</v>
      </c>
      <c r="I146" s="8"/>
    </row>
    <row r="147" spans="1:9" x14ac:dyDescent="0.25">
      <c r="A147" s="1">
        <v>2802952001016</v>
      </c>
      <c r="B147" t="str">
        <f>"LIBYTEC ΦΑΡΜΑΚΕΥΤΙΚΗ A.E."</f>
        <v>LIBYTEC ΦΑΡΜΑΚΕΥΤΙΚΗ A.E.</v>
      </c>
      <c r="C147" t="str">
        <f>"295200101"</f>
        <v>295200101</v>
      </c>
      <c r="D147" s="8" t="str">
        <f>"2802952001016"</f>
        <v>2802952001016</v>
      </c>
      <c r="E147" s="8" t="str">
        <f>"IBOSAT F.C.TABL. 1x150MG"</f>
        <v>IBOSAT F.C.TABL. 1x150MG</v>
      </c>
      <c r="F147" s="9">
        <v>5.68</v>
      </c>
      <c r="G147" s="8"/>
      <c r="H147" s="10">
        <v>0.05</v>
      </c>
      <c r="I147" s="8"/>
    </row>
    <row r="148" spans="1:9" x14ac:dyDescent="0.25">
      <c r="A148" s="1">
        <v>2802068501028</v>
      </c>
      <c r="B148" t="str">
        <f>"MEDICAL PHARMAQUALITY A.E."</f>
        <v>MEDICAL PHARMAQUALITY A.E.</v>
      </c>
      <c r="C148" t="str">
        <f>"206850102"</f>
        <v>206850102</v>
      </c>
      <c r="D148" s="8" t="str">
        <f>"2802068501028"</f>
        <v>2802068501028</v>
      </c>
      <c r="E148" s="8" t="str">
        <f>"IPERTON TABL. 30x(20+12,5)MG"</f>
        <v>IPERTON TABL. 30x(20+12,5)MG</v>
      </c>
      <c r="F148" s="9">
        <v>5.97</v>
      </c>
      <c r="G148" s="8"/>
      <c r="H148" s="10">
        <v>0.05</v>
      </c>
      <c r="I148" s="8"/>
    </row>
    <row r="149" spans="1:9" x14ac:dyDescent="0.25">
      <c r="A149" s="1">
        <v>2803029103022</v>
      </c>
      <c r="B149" t="str">
        <f>"LAVIPHARM ACTIVE SERVICES MON. A.E.E."</f>
        <v>LAVIPHARM ACTIVE SERVICES MON. A.E.E.</v>
      </c>
      <c r="C149" t="str">
        <f>"302910302"</f>
        <v>302910302</v>
      </c>
      <c r="D149" s="8" t="str">
        <f>"2803029103022"</f>
        <v>2803029103022</v>
      </c>
      <c r="E149" s="8" t="str">
        <f>"IRBESARTAN/ZENTIVA TABL.28x300MG"</f>
        <v>IRBESARTAN/ZENTIVA TABL.28x300MG</v>
      </c>
      <c r="F149" s="9">
        <v>3.77</v>
      </c>
      <c r="G149" s="8"/>
      <c r="H149" s="10">
        <v>0.03</v>
      </c>
      <c r="I149" s="8"/>
    </row>
    <row r="150" spans="1:9" x14ac:dyDescent="0.25">
      <c r="A150" s="1">
        <v>2803029001021</v>
      </c>
      <c r="B150" t="str">
        <f>"LAVIPHARM ACTIVE SERVICES MON. A.E.E."</f>
        <v>LAVIPHARM ACTIVE SERVICES MON. A.E.E.</v>
      </c>
      <c r="C150" t="str">
        <f>"302900102"</f>
        <v>302900102</v>
      </c>
      <c r="D150" s="8" t="str">
        <f>"2803029001021"</f>
        <v>2803029001021</v>
      </c>
      <c r="E150" s="8" t="str">
        <f>"IRBESARTAN+HCT/ZENTIVA FCT.28x(150+12,5)MG"</f>
        <v>IRBESARTAN+HCT/ZENTIVA FCT.28x(150+12,5)MG</v>
      </c>
      <c r="F150" s="9">
        <v>2.96</v>
      </c>
      <c r="G150" s="8"/>
      <c r="H150" s="10">
        <v>0.03</v>
      </c>
      <c r="I150" s="8"/>
    </row>
    <row r="151" spans="1:9" x14ac:dyDescent="0.25">
      <c r="A151" s="1">
        <v>2803029002028</v>
      </c>
      <c r="B151" t="str">
        <f>"LAVIPHARM ACTIVE SERVICES MON. A.E.E."</f>
        <v>LAVIPHARM ACTIVE SERVICES MON. A.E.E.</v>
      </c>
      <c r="C151" t="str">
        <f>"302900202"</f>
        <v>302900202</v>
      </c>
      <c r="D151" s="8" t="str">
        <f>"2803029002028"</f>
        <v>2803029002028</v>
      </c>
      <c r="E151" s="8" t="str">
        <f>"IRBESARTAN+HCT/ZENTIVA FCT.28x(300+12,5)MG"</f>
        <v>IRBESARTAN+HCT/ZENTIVA FCT.28x(300+12,5)MG</v>
      </c>
      <c r="F151" s="9">
        <v>4.3</v>
      </c>
      <c r="G151" s="8"/>
      <c r="H151" s="10">
        <v>0.03</v>
      </c>
      <c r="I151" s="8"/>
    </row>
    <row r="152" spans="1:9" x14ac:dyDescent="0.25">
      <c r="A152" s="1">
        <v>2803029005029</v>
      </c>
      <c r="B152" t="str">
        <f>"LAVIPHARM ACTIVE SERVICES MON. A.E.E."</f>
        <v>LAVIPHARM ACTIVE SERVICES MON. A.E.E.</v>
      </c>
      <c r="C152" t="str">
        <f>"302900502"</f>
        <v>302900502</v>
      </c>
      <c r="D152" s="8" t="str">
        <f>"2803029005029"</f>
        <v>2803029005029</v>
      </c>
      <c r="E152" s="8" t="str">
        <f>"IRBESARTAN+HCT/ZENTIVA FCT.28x(300+25)MG"</f>
        <v>IRBESARTAN+HCT/ZENTIVA FCT.28x(300+25)MG</v>
      </c>
      <c r="F152" s="9">
        <v>5.08</v>
      </c>
      <c r="G152" s="8"/>
      <c r="H152" s="10">
        <v>0.03</v>
      </c>
      <c r="I152" s="8"/>
    </row>
    <row r="153" spans="1:9" s="12" customFormat="1" x14ac:dyDescent="0.25">
      <c r="A153" s="11">
        <v>2800130303037</v>
      </c>
      <c r="B153" s="12" t="str">
        <f>"ΠΡΟΤΑΣΙΣ ΦΑΡΜΑΚΕΥΤΙΚΗ ΕΠΕ"</f>
        <v>ΠΡΟΤΑΣΙΣ ΦΑΡΜΑΚΕΥΤΙΚΗ ΕΠΕ</v>
      </c>
      <c r="C153" s="12" t="str">
        <f>"013030303"</f>
        <v>013030303</v>
      </c>
      <c r="D153" s="13" t="str">
        <f>"2800130303037"</f>
        <v>2800130303037</v>
      </c>
      <c r="E153" s="13" t="str">
        <f>"KENACOMB CREAM 25G"</f>
        <v>KENACOMB CREAM 25G</v>
      </c>
      <c r="F153" s="14">
        <v>4.16</v>
      </c>
      <c r="G153" s="13"/>
      <c r="H153" s="15">
        <v>0.03</v>
      </c>
      <c r="I153" s="13" t="s">
        <v>11</v>
      </c>
    </row>
    <row r="154" spans="1:9" x14ac:dyDescent="0.25">
      <c r="A154" s="1">
        <v>2800324801011</v>
      </c>
      <c r="B154" t="str">
        <f>"ADELCO-ΧΡΩΜΑΤΟΥΡΓΕΙΑ ΑΘΗΝΩΝ Α.Ε."</f>
        <v>ADELCO-ΧΡΩΜΑΤΟΥΡΓΕΙΑ ΑΘΗΝΩΝ Α.Ε.</v>
      </c>
      <c r="C154" t="str">
        <f>"01903"</f>
        <v>01903</v>
      </c>
      <c r="D154" s="8" t="str">
        <f>"2800324801011"</f>
        <v>2800324801011</v>
      </c>
      <c r="E154" s="8" t="str">
        <f>"KLOREF EFF.TABL. 30x(1035+675)MG"</f>
        <v>KLOREF EFF.TABL. 30x(1035+675)MG</v>
      </c>
      <c r="F154" s="9">
        <v>3.58</v>
      </c>
      <c r="G154" s="8"/>
      <c r="H154" s="10">
        <v>0.05</v>
      </c>
      <c r="I154" s="8"/>
    </row>
    <row r="155" spans="1:9" x14ac:dyDescent="0.25">
      <c r="A155" s="1">
        <v>2801971802017</v>
      </c>
      <c r="B155" t="str">
        <f>"INNOVIS PHARMA AEBE"</f>
        <v>INNOVIS PHARMA AEBE</v>
      </c>
      <c r="C155" t="str">
        <f>"01923"</f>
        <v>01923</v>
      </c>
      <c r="D155" s="8" t="str">
        <f>"2801971802017"</f>
        <v>2801971802017</v>
      </c>
      <c r="E155" s="8" t="str">
        <f>"LADININ F.C.TABL. 10x500MG"</f>
        <v>LADININ F.C.TABL. 10x500MG</v>
      </c>
      <c r="F155" s="9">
        <v>3.24</v>
      </c>
      <c r="G155" s="8"/>
      <c r="H155" s="10">
        <v>0.05</v>
      </c>
      <c r="I155" s="8"/>
    </row>
    <row r="156" spans="1:9" x14ac:dyDescent="0.25">
      <c r="A156" s="1">
        <v>2802048701028</v>
      </c>
      <c r="B156" t="str">
        <f>"ANFARM ΕΛΛΑΣ ΑΕ"</f>
        <v>ANFARM ΕΛΛΑΣ ΑΕ</v>
      </c>
      <c r="C156" t="str">
        <f>"204870102"</f>
        <v>204870102</v>
      </c>
      <c r="D156" s="8" t="str">
        <f>"2802048701028"</f>
        <v>2802048701028</v>
      </c>
      <c r="E156" s="8" t="str">
        <f>"LATOREN TABL. 28x10MG"</f>
        <v>LATOREN TABL. 28x10MG</v>
      </c>
      <c r="F156" s="9">
        <v>2.72</v>
      </c>
      <c r="G156" s="8"/>
      <c r="H156" s="10">
        <v>0.05</v>
      </c>
      <c r="I156" s="8"/>
    </row>
    <row r="157" spans="1:9" x14ac:dyDescent="0.25">
      <c r="A157" s="1">
        <v>2802970904030</v>
      </c>
      <c r="B157" t="str">
        <f>"GENEPHARM A.E."</f>
        <v>GENEPHARM A.E.</v>
      </c>
      <c r="C157" t="str">
        <f>"297090403"</f>
        <v>297090403</v>
      </c>
      <c r="D157" s="8" t="str">
        <f>"2802970904030"</f>
        <v>2802970904030</v>
      </c>
      <c r="E157" s="8" t="str">
        <f>"LETIRA F.C.TABL. 30x1000MG"</f>
        <v>LETIRA F.C.TABL. 30x1000MG</v>
      </c>
      <c r="F157" s="9">
        <v>17.14</v>
      </c>
      <c r="G157" s="8"/>
      <c r="H157" s="10">
        <v>0.05</v>
      </c>
      <c r="I157" s="8"/>
    </row>
    <row r="158" spans="1:9" x14ac:dyDescent="0.25">
      <c r="A158" s="1">
        <v>2802970902036</v>
      </c>
      <c r="B158" t="str">
        <f>"GENEPHARM A.E."</f>
        <v>GENEPHARM A.E.</v>
      </c>
      <c r="C158" t="str">
        <f>"297090203"</f>
        <v>297090203</v>
      </c>
      <c r="D158" s="8" t="str">
        <f>"2802970902036"</f>
        <v>2802970902036</v>
      </c>
      <c r="E158" s="8" t="str">
        <f>"LETIRA F.C.TABL. 30x500MG"</f>
        <v>LETIRA F.C.TABL. 30x500MG</v>
      </c>
      <c r="F158" s="9">
        <v>8.57</v>
      </c>
      <c r="G158" s="8"/>
      <c r="H158" s="10">
        <v>0.05</v>
      </c>
      <c r="I158" s="8"/>
    </row>
    <row r="159" spans="1:9" x14ac:dyDescent="0.25">
      <c r="A159" s="1">
        <v>2802975101069</v>
      </c>
      <c r="B159" t="str">
        <f>"GENEPHARM A.E."</f>
        <v>GENEPHARM A.E.</v>
      </c>
      <c r="C159" t="str">
        <f>"297510106"</f>
        <v>297510106</v>
      </c>
      <c r="D159" s="8" t="str">
        <f>"2802975101069"</f>
        <v>2802975101069</v>
      </c>
      <c r="E159" s="8" t="str">
        <f>"LEVOCET/SIEGER F.C.TABL. 30x5MG"</f>
        <v>LEVOCET/SIEGER F.C.TABL. 30x5MG</v>
      </c>
      <c r="F159" s="9">
        <v>3.12</v>
      </c>
      <c r="G159" s="8"/>
      <c r="H159" s="10">
        <v>0.05</v>
      </c>
      <c r="I159" s="8"/>
    </row>
    <row r="160" spans="1:9" x14ac:dyDescent="0.25">
      <c r="A160" s="1">
        <v>2802733301021</v>
      </c>
      <c r="B160" t="str">
        <f>"VIVAX ΦΑΡΜΑΚΕΥΤΙΚΗ ΕΠΕ"</f>
        <v>VIVAX ΦΑΡΜΑΚΕΥΤΙΚΗ ΕΠΕ</v>
      </c>
      <c r="C160" t="str">
        <f>"13619"</f>
        <v>13619</v>
      </c>
      <c r="D160" s="8" t="str">
        <f>"2802733301021"</f>
        <v>2802733301021</v>
      </c>
      <c r="E160" s="8" t="str">
        <f>"LEXIGOR GR CAPS 28x20MG"</f>
        <v>LEXIGOR GR CAPS 28x20MG</v>
      </c>
      <c r="F160" s="9">
        <v>5.97</v>
      </c>
      <c r="G160" s="8"/>
      <c r="H160" s="10">
        <v>0.05</v>
      </c>
      <c r="I160" s="8"/>
    </row>
    <row r="161" spans="1:9" x14ac:dyDescent="0.25">
      <c r="A161" s="1">
        <v>2803009502036</v>
      </c>
      <c r="B161" t="str">
        <f>"MEDICAL PHARMAQUALITY A.E."</f>
        <v>MEDICAL PHARMAQUALITY A.E.</v>
      </c>
      <c r="C161" t="str">
        <f>"300950203"</f>
        <v>300950203</v>
      </c>
      <c r="D161" s="8" t="str">
        <f>"2803009502036"</f>
        <v>2803009502036</v>
      </c>
      <c r="E161" s="8" t="str">
        <f>"LIPIGAN F.C.TABL. 14x40MG"</f>
        <v>LIPIGAN F.C.TABL. 14x40MG</v>
      </c>
      <c r="F161" s="9">
        <v>3.3</v>
      </c>
      <c r="G161" s="8"/>
      <c r="H161" s="10">
        <v>0.05</v>
      </c>
      <c r="I161" s="8"/>
    </row>
    <row r="162" spans="1:9" x14ac:dyDescent="0.25">
      <c r="A162" s="1">
        <v>2802612401026</v>
      </c>
      <c r="B162" t="str">
        <f>"ANFARM ΕΛΛΑΣ ΑΕ"</f>
        <v>ANFARM ΕΛΛΑΣ ΑΕ</v>
      </c>
      <c r="C162" t="str">
        <f>"261240102"</f>
        <v>261240102</v>
      </c>
      <c r="D162" s="8" t="str">
        <f>"2802612401026"</f>
        <v>2802612401026</v>
      </c>
      <c r="E162" s="8" t="str">
        <f>"LIPOVAST F.C.TABL. 28x20MG"</f>
        <v>LIPOVAST F.C.TABL. 28x20MG</v>
      </c>
      <c r="F162" s="9">
        <v>5.81</v>
      </c>
      <c r="G162" s="8"/>
      <c r="H162" s="10">
        <v>0.05</v>
      </c>
      <c r="I162" s="8"/>
    </row>
    <row r="163" spans="1:9" x14ac:dyDescent="0.25">
      <c r="A163" s="1">
        <v>2802612402023</v>
      </c>
      <c r="B163" t="str">
        <f>"ANFARM ΕΛΛΑΣ ΑΕ"</f>
        <v>ANFARM ΕΛΛΑΣ ΑΕ</v>
      </c>
      <c r="C163" t="str">
        <f>"261240202"</f>
        <v>261240202</v>
      </c>
      <c r="D163" s="8" t="str">
        <f>"2802612402023"</f>
        <v>2802612402023</v>
      </c>
      <c r="E163" s="8" t="str">
        <f>"LIPOVAST F.C.TABL. 28x40MG"</f>
        <v>LIPOVAST F.C.TABL. 28x40MG</v>
      </c>
      <c r="F163" s="9">
        <v>6.46</v>
      </c>
      <c r="G163" s="8"/>
      <c r="H163" s="10">
        <v>0.05</v>
      </c>
      <c r="I163" s="8"/>
    </row>
    <row r="164" spans="1:9" x14ac:dyDescent="0.25">
      <c r="A164" s="1">
        <v>2802743501022</v>
      </c>
      <c r="B164" t="str">
        <f>"MEDICAL PHARMAQUALITY A.E."</f>
        <v>MEDICAL PHARMAQUALITY A.E.</v>
      </c>
      <c r="C164" t="str">
        <f>"274350102"</f>
        <v>274350102</v>
      </c>
      <c r="D164" s="8" t="str">
        <f>"2802743501022"</f>
        <v>2802743501022</v>
      </c>
      <c r="E164" s="8" t="str">
        <f>"LYOPRAZ GR CAPS 28x20MG"</f>
        <v>LYOPRAZ GR CAPS 28x20MG</v>
      </c>
      <c r="F164" s="9">
        <v>5.97</v>
      </c>
      <c r="G164" s="8"/>
      <c r="H164" s="10">
        <v>0.05</v>
      </c>
      <c r="I164" s="8"/>
    </row>
    <row r="165" spans="1:9" x14ac:dyDescent="0.25">
      <c r="A165" s="1">
        <v>2803093201020</v>
      </c>
      <c r="B165" t="str">
        <f>"QUALIA PHARMA A.E"</f>
        <v>QUALIA PHARMA A.E</v>
      </c>
      <c r="C165" t="str">
        <f>"6939"</f>
        <v>6939</v>
      </c>
      <c r="D165" s="8" t="str">
        <f>"2803093201020"</f>
        <v>2803093201020</v>
      </c>
      <c r="E165" s="8" t="str">
        <f>"MARIXINO/KRKA F.C.TABL. 28x10MG"</f>
        <v>MARIXINO/KRKA F.C.TABL. 28x10MG</v>
      </c>
      <c r="F165" s="9">
        <v>8.6300000000000008</v>
      </c>
      <c r="G165" s="8"/>
      <c r="H165" s="10">
        <v>0.05</v>
      </c>
      <c r="I165" s="8"/>
    </row>
    <row r="166" spans="1:9" x14ac:dyDescent="0.25">
      <c r="A166" s="1">
        <v>2802572601016</v>
      </c>
      <c r="B166" t="str">
        <f>"ANFARM ΕΛΛΑΣ ΑΕ"</f>
        <v>ANFARM ΕΛΛΑΣ ΑΕ</v>
      </c>
      <c r="C166" t="str">
        <f>"257260101"</f>
        <v>257260101</v>
      </c>
      <c r="D166" s="8" t="str">
        <f>"2802572601016"</f>
        <v>2802572601016</v>
      </c>
      <c r="E166" s="8" t="str">
        <f>"MAXILIN TABL. 21x500MG"</f>
        <v>MAXILIN TABL. 21x500MG</v>
      </c>
      <c r="F166" s="9">
        <v>8.01</v>
      </c>
      <c r="G166" s="8"/>
      <c r="H166" s="10">
        <v>0.05</v>
      </c>
      <c r="I166" s="8"/>
    </row>
    <row r="167" spans="1:9" x14ac:dyDescent="0.25">
      <c r="A167" s="1">
        <v>2803054302063</v>
      </c>
      <c r="B167" t="str">
        <f>"LAVIPHARM ACTIVE SERVICES MON. A.E.E."</f>
        <v>LAVIPHARM ACTIVE SERVICES MON. A.E.E.</v>
      </c>
      <c r="C167" t="str">
        <f>"4744"</f>
        <v>4744</v>
      </c>
      <c r="D167" s="8" t="str">
        <f>"2803054302063"</f>
        <v>2803054302063</v>
      </c>
      <c r="E167" s="8" t="str">
        <f>"MEDOTIS GR TABL. 28x20MG"</f>
        <v>MEDOTIS GR TABL. 28x20MG</v>
      </c>
      <c r="F167" s="9">
        <v>4.0599999999999996</v>
      </c>
      <c r="G167" s="8"/>
      <c r="H167" s="10">
        <v>0.03</v>
      </c>
      <c r="I167" s="8"/>
    </row>
    <row r="168" spans="1:9" x14ac:dyDescent="0.25">
      <c r="A168" s="1">
        <v>2802860602015</v>
      </c>
      <c r="B168" t="str">
        <f>"ANFARM ΕΛΛΑΣ ΑΕ"</f>
        <v>ANFARM ΕΛΛΑΣ ΑΕ</v>
      </c>
      <c r="C168" t="str">
        <f>"12979"</f>
        <v>12979</v>
      </c>
      <c r="D168" s="8" t="str">
        <f>"2802860602015"</f>
        <v>2802860602015</v>
      </c>
      <c r="E168" s="8" t="str">
        <f>"MEROPENEM/ANFARM 1GRX 10"</f>
        <v>MEROPENEM/ANFARM 1GRX 10</v>
      </c>
      <c r="F168" s="9">
        <v>67.59</v>
      </c>
      <c r="G168" s="8"/>
      <c r="H168" s="10">
        <v>0.05</v>
      </c>
      <c r="I168" s="8"/>
    </row>
    <row r="169" spans="1:9" x14ac:dyDescent="0.25">
      <c r="A169" s="1">
        <v>2802860601018</v>
      </c>
      <c r="B169" t="str">
        <f>"ANFARM ΕΛΛΑΣ ΑΕ"</f>
        <v>ANFARM ΕΛΛΑΣ ΑΕ</v>
      </c>
      <c r="C169" t="str">
        <f>"286060101"</f>
        <v>286060101</v>
      </c>
      <c r="D169" s="8" t="str">
        <f>"2802860601018"</f>
        <v>2802860601018</v>
      </c>
      <c r="E169" s="8" t="str">
        <f>"MEROPENEM/ANFARM 500MG X 10"</f>
        <v>MEROPENEM/ANFARM 500MG X 10</v>
      </c>
      <c r="F169" s="9">
        <v>42.78</v>
      </c>
      <c r="G169" s="8"/>
      <c r="H169" s="10">
        <v>0.05</v>
      </c>
      <c r="I169" s="8"/>
    </row>
    <row r="170" spans="1:9" x14ac:dyDescent="0.25">
      <c r="A170" s="1">
        <v>2802009201024</v>
      </c>
      <c r="B170" t="str">
        <f>"VIANEX A.E."</f>
        <v>VIANEX A.E.</v>
      </c>
      <c r="C170" t="str">
        <f>"200920102"</f>
        <v>200920102</v>
      </c>
      <c r="D170" s="8" t="str">
        <f>"2802009201024"</f>
        <v>2802009201024</v>
      </c>
      <c r="E170" s="8" t="str">
        <f>"MESULID TABL. 30x100MG"</f>
        <v>MESULID TABL. 30x100MG</v>
      </c>
      <c r="F170" s="9">
        <v>2.91</v>
      </c>
      <c r="G170" s="8"/>
      <c r="H170" s="10">
        <v>0.05</v>
      </c>
      <c r="I170" s="8"/>
    </row>
    <row r="171" spans="1:9" x14ac:dyDescent="0.25">
      <c r="A171" s="1">
        <v>2800167104010</v>
      </c>
      <c r="B171" t="str">
        <f>"ADELCO-ΧΡΩΜΑΤΟΥΡΓΕΙΑ ΑΘΗΝΩΝ Α.Ε."</f>
        <v>ADELCO-ΧΡΩΜΑΤΟΥΡΓΕΙΑ ΑΘΗΝΩΝ Α.Ε.</v>
      </c>
      <c r="C171" t="str">
        <f>"02249"</f>
        <v>02249</v>
      </c>
      <c r="D171" s="8" t="str">
        <f>"2800167104010"</f>
        <v>2800167104010</v>
      </c>
      <c r="E171" s="8" t="str">
        <f>"MINITRAN C.TABL. 50x(2+25)MG"</f>
        <v>MINITRAN C.TABL. 50x(2+25)MG</v>
      </c>
      <c r="F171" s="9">
        <v>2.39</v>
      </c>
      <c r="G171" s="8"/>
      <c r="H171" s="10">
        <v>0.05</v>
      </c>
      <c r="I171" s="8"/>
    </row>
    <row r="172" spans="1:9" x14ac:dyDescent="0.25">
      <c r="A172" s="1">
        <v>2800167102016</v>
      </c>
      <c r="B172" t="str">
        <f>"ADELCO-ΧΡΩΜΑΤΟΥΡΓΕΙΑ ΑΘΗΝΩΝ Α.Ε."</f>
        <v>ADELCO-ΧΡΩΜΑΤΟΥΡΓΕΙΑ ΑΘΗΝΩΝ Α.Ε.</v>
      </c>
      <c r="C172" t="str">
        <f>"02251"</f>
        <v>02251</v>
      </c>
      <c r="D172" s="8" t="str">
        <f>"2800167102016"</f>
        <v>2800167102016</v>
      </c>
      <c r="E172" s="8" t="str">
        <f>"MINITRAN C.TABL. 50x(4+10)MG"</f>
        <v>MINITRAN C.TABL. 50x(4+10)MG</v>
      </c>
      <c r="F172" s="9">
        <v>2.17</v>
      </c>
      <c r="G172" s="8"/>
      <c r="H172" s="10">
        <v>0.05</v>
      </c>
      <c r="I172" s="8"/>
    </row>
    <row r="173" spans="1:9" x14ac:dyDescent="0.25">
      <c r="A173" s="1">
        <v>2800167103013</v>
      </c>
      <c r="B173" t="str">
        <f>"ADELCO-ΧΡΩΜΑΤΟΥΡΓΕΙΑ ΑΘΗΝΩΝ Α.Ε."</f>
        <v>ADELCO-ΧΡΩΜΑΤΟΥΡΓΕΙΑ ΑΘΗΝΩΝ Α.Ε.</v>
      </c>
      <c r="C173" t="str">
        <f>"02250"</f>
        <v>02250</v>
      </c>
      <c r="D173" s="8" t="str">
        <f>"2800167103013"</f>
        <v>2800167103013</v>
      </c>
      <c r="E173" s="8" t="str">
        <f>"MINITRAN C.TABL. 50x(4+25)MG"</f>
        <v>MINITRAN C.TABL. 50x(4+25)MG</v>
      </c>
      <c r="F173" s="9">
        <v>2.59</v>
      </c>
      <c r="G173" s="8"/>
      <c r="H173" s="10">
        <v>0.05</v>
      </c>
      <c r="I173" s="8"/>
    </row>
    <row r="174" spans="1:9" x14ac:dyDescent="0.25">
      <c r="A174" s="1">
        <v>2801953902032</v>
      </c>
      <c r="B174" t="str">
        <f>"BENNETT ΦΑΡΜΑΚΕΥΤΙΚΗ Α.Ε"</f>
        <v>BENNETT ΦΑΡΜΑΚΕΥΤΙΚΗ Α.Ε</v>
      </c>
      <c r="C174" t="str">
        <f>"195390203"</f>
        <v>195390203</v>
      </c>
      <c r="D174" s="8" t="str">
        <f>"2801953902032"</f>
        <v>2801953902032</v>
      </c>
      <c r="E174" s="8" t="str">
        <f>"MOSTRELAN C.TABL.20x40MG"</f>
        <v>MOSTRELAN C.TABL.20x40MG</v>
      </c>
      <c r="F174" s="9">
        <v>4.99</v>
      </c>
      <c r="G174" s="8"/>
      <c r="H174" s="10">
        <v>0.05</v>
      </c>
      <c r="I174" s="8"/>
    </row>
    <row r="175" spans="1:9" x14ac:dyDescent="0.25">
      <c r="A175" s="1">
        <v>2802617501011</v>
      </c>
      <c r="B175" t="str">
        <f>"TARGET ΦΑΡΜΑ ΜΟΝ.ΕΠΕ"</f>
        <v>TARGET ΦΑΡΜΑ ΜΟΝ.ΕΠΕ</v>
      </c>
      <c r="C175" t="str">
        <f>"261750101"</f>
        <v>261750101</v>
      </c>
      <c r="D175" s="8" t="str">
        <f>"2802617501011"</f>
        <v>2802617501011</v>
      </c>
      <c r="E175" s="8" t="str">
        <f>"MUPIROCIN/TARGET OINTMENT 2% 15GR"</f>
        <v>MUPIROCIN/TARGET OINTMENT 2% 15GR</v>
      </c>
      <c r="F175" s="9">
        <v>2.15</v>
      </c>
      <c r="G175" s="8"/>
      <c r="H175" s="10">
        <v>0.05</v>
      </c>
      <c r="I175" s="8"/>
    </row>
    <row r="176" spans="1:9" x14ac:dyDescent="0.25">
      <c r="A176" s="1">
        <v>2803145701027</v>
      </c>
      <c r="B176" t="str">
        <f>"DEMO  ABEE"</f>
        <v>DEMO  ABEE</v>
      </c>
      <c r="C176" t="str">
        <f>"314570102"</f>
        <v>314570102</v>
      </c>
      <c r="D176" s="8" t="str">
        <f>"2803145701027"</f>
        <v>2803145701027</v>
      </c>
      <c r="E176" s="8" t="str">
        <f>"NAIREM F.C.TABL.28x5MG"</f>
        <v>NAIREM F.C.TABL.28x5MG</v>
      </c>
      <c r="F176" s="9">
        <v>39.75</v>
      </c>
      <c r="G176" s="8"/>
      <c r="H176" s="10">
        <v>0.05</v>
      </c>
      <c r="I176" s="8"/>
    </row>
    <row r="177" spans="1:9" x14ac:dyDescent="0.25">
      <c r="A177" s="1">
        <v>2802598001012</v>
      </c>
      <c r="B177" t="str">
        <f>"MEDICAIR BIOSCIENCE SA"</f>
        <v>MEDICAIR BIOSCIENCE SA</v>
      </c>
      <c r="C177" t="str">
        <f>"259800101"</f>
        <v>259800101</v>
      </c>
      <c r="D177" s="8" t="str">
        <f>"2802598001012"</f>
        <v>2802598001012</v>
      </c>
      <c r="E177" s="8" t="str">
        <f>"NASATRIM NASPR.SUS.55MCG x120DOSES (MD)"</f>
        <v>NASATRIM NASPR.SUS.55MCG x120DOSES (MD)</v>
      </c>
      <c r="F177" s="9">
        <v>4.03</v>
      </c>
      <c r="G177" s="8"/>
      <c r="H177" s="10">
        <v>0.04</v>
      </c>
      <c r="I177" s="8"/>
    </row>
    <row r="178" spans="1:9" x14ac:dyDescent="0.25">
      <c r="A178" s="1">
        <v>2802964201039</v>
      </c>
      <c r="B178" t="str">
        <f>"LIBYTEC ΦΑΡΜΑΚΕΥΤΙΚΗ A.E."</f>
        <v>LIBYTEC ΦΑΡΜΑΚΕΥΤΙΚΗ A.E.</v>
      </c>
      <c r="C178" t="str">
        <f>"296420103"</f>
        <v>296420103</v>
      </c>
      <c r="D178" s="8" t="str">
        <f>"2802964201039"</f>
        <v>2802964201039</v>
      </c>
      <c r="E178" s="8" t="str">
        <f>"NELIBAT F.C.TABL. 30x10MG"</f>
        <v>NELIBAT F.C.TABL. 30x10MG</v>
      </c>
      <c r="F178" s="9">
        <v>5.7</v>
      </c>
      <c r="G178" s="8"/>
      <c r="H178" s="10">
        <v>0.05</v>
      </c>
      <c r="I178" s="8"/>
    </row>
    <row r="179" spans="1:9" x14ac:dyDescent="0.25">
      <c r="A179" s="1">
        <v>2802964202036</v>
      </c>
      <c r="B179" t="str">
        <f>"LIBYTEC ΦΑΡΜΑΚΕΥΤΙΚΗ A.E."</f>
        <v>LIBYTEC ΦΑΡΜΑΚΕΥΤΙΚΗ A.E.</v>
      </c>
      <c r="C179" t="str">
        <f>"296420203"</f>
        <v>296420203</v>
      </c>
      <c r="D179" s="8" t="str">
        <f>"2802964202036"</f>
        <v>2802964202036</v>
      </c>
      <c r="E179" s="8" t="str">
        <f>"NELIBAT F.C.TABL. 30x20MG"</f>
        <v>NELIBAT F.C.TABL. 30x20MG</v>
      </c>
      <c r="F179" s="9">
        <v>6.23</v>
      </c>
      <c r="G179" s="8"/>
      <c r="H179" s="10">
        <v>0.05</v>
      </c>
      <c r="I179" s="8"/>
    </row>
    <row r="180" spans="1:9" x14ac:dyDescent="0.25">
      <c r="A180" s="1">
        <v>2802964203033</v>
      </c>
      <c r="B180" t="str">
        <f>"LIBYTEC ΦΑΡΜΑΚΕΥΤΙΚΗ A.E."</f>
        <v>LIBYTEC ΦΑΡΜΑΚΕΥΤΙΚΗ A.E.</v>
      </c>
      <c r="C180" t="str">
        <f>"296420303"</f>
        <v>296420303</v>
      </c>
      <c r="D180" s="8" t="str">
        <f>"2802964203033"</f>
        <v>2802964203033</v>
      </c>
      <c r="E180" s="8" t="str">
        <f>"NELIBAT F.C.TABL. 30x40MG"</f>
        <v>NELIBAT F.C.TABL. 30x40MG</v>
      </c>
      <c r="F180" s="9">
        <v>6.97</v>
      </c>
      <c r="G180" s="8"/>
      <c r="H180" s="10">
        <v>0.05</v>
      </c>
      <c r="I180" s="8"/>
    </row>
    <row r="181" spans="1:9" x14ac:dyDescent="0.25">
      <c r="A181" s="1">
        <v>2802018701034</v>
      </c>
      <c r="B181" t="str">
        <f>"ANFARM ΕΛΛΑΣ ΑΕ"</f>
        <v>ANFARM ΕΛΛΑΣ ΑΕ</v>
      </c>
      <c r="C181" t="str">
        <f>"201870103"</f>
        <v>201870103</v>
      </c>
      <c r="D181" s="8" t="str">
        <f>"2802018701034"</f>
        <v>2802018701034</v>
      </c>
      <c r="E181" s="8" t="str">
        <f>"NEO ENDUSIX F.C.TABL.30x20MG"</f>
        <v>NEO ENDUSIX F.C.TABL.30x20MG</v>
      </c>
      <c r="F181" s="9">
        <v>3.98</v>
      </c>
      <c r="G181" s="8"/>
      <c r="H181" s="10">
        <v>0.05</v>
      </c>
      <c r="I181" s="8"/>
    </row>
    <row r="182" spans="1:9" s="12" customFormat="1" x14ac:dyDescent="0.25">
      <c r="A182" s="11">
        <v>2803229301044</v>
      </c>
      <c r="B182" s="12" t="str">
        <f>"VIOFAR LTD"</f>
        <v>VIOFAR LTD</v>
      </c>
      <c r="C182" s="12" t="str">
        <f>"322930104"</f>
        <v>322930104</v>
      </c>
      <c r="D182" s="13" t="s">
        <v>21</v>
      </c>
      <c r="E182" s="13" t="s">
        <v>24</v>
      </c>
      <c r="F182" s="14">
        <v>42.38</v>
      </c>
      <c r="G182" s="13"/>
      <c r="H182" s="15">
        <v>0.1</v>
      </c>
      <c r="I182" s="43" t="s">
        <v>27</v>
      </c>
    </row>
    <row r="183" spans="1:9" s="12" customFormat="1" x14ac:dyDescent="0.25">
      <c r="A183" s="11">
        <v>2803229302010</v>
      </c>
      <c r="B183" s="12" t="str">
        <f>"VIOFAR LTD"</f>
        <v>VIOFAR LTD</v>
      </c>
      <c r="C183" s="12" t="str">
        <f>"322930201"</f>
        <v>322930201</v>
      </c>
      <c r="D183" s="13" t="s">
        <v>22</v>
      </c>
      <c r="E183" s="13" t="s">
        <v>25</v>
      </c>
      <c r="F183" s="14">
        <v>17.920000000000002</v>
      </c>
      <c r="G183" s="13"/>
      <c r="H183" s="15">
        <v>0.1</v>
      </c>
      <c r="I183" s="44"/>
    </row>
    <row r="184" spans="1:9" s="12" customFormat="1" x14ac:dyDescent="0.25">
      <c r="A184" s="11">
        <v>2803229303024</v>
      </c>
      <c r="B184" s="12" t="str">
        <f>"VIOFAR LTD"</f>
        <v>VIOFAR LTD</v>
      </c>
      <c r="C184" s="12" t="str">
        <f>"322930302"</f>
        <v>322930302</v>
      </c>
      <c r="D184" s="13" t="s">
        <v>23</v>
      </c>
      <c r="E184" s="13" t="s">
        <v>26</v>
      </c>
      <c r="F184" s="14">
        <v>18.53</v>
      </c>
      <c r="G184" s="13"/>
      <c r="H184" s="15">
        <v>0.1</v>
      </c>
      <c r="I184" s="45"/>
    </row>
    <row r="185" spans="1:9" x14ac:dyDescent="0.25">
      <c r="A185" s="1">
        <v>2803027902016</v>
      </c>
      <c r="B185" t="str">
        <f>"MEDICAL PHARMAQUALITY A.E."</f>
        <v>MEDICAL PHARMAQUALITY A.E.</v>
      </c>
      <c r="C185" t="str">
        <f>"302790201"</f>
        <v>302790201</v>
      </c>
      <c r="D185" s="8" t="str">
        <f>"2803027902016"</f>
        <v>2803027902016</v>
      </c>
      <c r="E185" s="8" t="str">
        <f>"NORDEX/MEDICAL TABL.14x10MG"</f>
        <v>NORDEX/MEDICAL TABL.14x10MG</v>
      </c>
      <c r="F185" s="9">
        <v>3.04</v>
      </c>
      <c r="G185" s="8"/>
      <c r="H185" s="10">
        <v>0.05</v>
      </c>
      <c r="I185" s="8"/>
    </row>
    <row r="186" spans="1:9" x14ac:dyDescent="0.25">
      <c r="A186" s="1">
        <v>2803027901019</v>
      </c>
      <c r="B186" t="str">
        <f>"MEDICAL PHARMAQUALITY A.E."</f>
        <v>MEDICAL PHARMAQUALITY A.E.</v>
      </c>
      <c r="C186" t="str">
        <f>"302790101"</f>
        <v>302790101</v>
      </c>
      <c r="D186" s="8" t="str">
        <f>"2803027901019"</f>
        <v>2803027901019</v>
      </c>
      <c r="E186" s="8" t="str">
        <f>"NORDEX/MEDICAL TABL.14x5MG"</f>
        <v>NORDEX/MEDICAL TABL.14x5MG</v>
      </c>
      <c r="F186" s="9">
        <v>2.0299999999999998</v>
      </c>
      <c r="G186" s="8"/>
      <c r="H186" s="10">
        <v>0.05</v>
      </c>
      <c r="I186" s="8"/>
    </row>
    <row r="187" spans="1:9" x14ac:dyDescent="0.25">
      <c r="A187" s="1">
        <v>2802473102018</v>
      </c>
      <c r="B187" t="str">
        <f>"ΒΙΑΝ Α.Ε"</f>
        <v>ΒΙΑΝ Α.Ε</v>
      </c>
      <c r="C187" t="str">
        <f>"247310201"</f>
        <v>247310201</v>
      </c>
      <c r="D187" s="8" t="str">
        <f>"2802473102018"</f>
        <v>2802473102018</v>
      </c>
      <c r="E187" s="8" t="str">
        <f>"NORLEVO TABL. 1x1,5MG"</f>
        <v>NORLEVO TABL. 1x1,5MG</v>
      </c>
      <c r="F187" s="9">
        <v>8.6999999999999993</v>
      </c>
      <c r="G187" s="8"/>
      <c r="H187" s="10">
        <v>0.05</v>
      </c>
      <c r="I187" s="8"/>
    </row>
    <row r="188" spans="1:9" x14ac:dyDescent="0.25">
      <c r="A188" s="1">
        <v>2802228701022</v>
      </c>
      <c r="B188" t="str">
        <f>"GENEPHARM A.E."</f>
        <v>GENEPHARM A.E.</v>
      </c>
      <c r="C188" t="str">
        <f>"051544"</f>
        <v>051544</v>
      </c>
      <c r="D188" s="8" t="str">
        <f>"2802228701022"</f>
        <v>2802228701022</v>
      </c>
      <c r="E188" s="8" t="str">
        <f>"ODASOL CAPS 28x20MG"</f>
        <v>ODASOL CAPS 28x20MG</v>
      </c>
      <c r="F188" s="9">
        <v>5.97</v>
      </c>
      <c r="G188" s="8"/>
      <c r="H188" s="10">
        <v>0.05</v>
      </c>
      <c r="I188" s="8"/>
    </row>
    <row r="189" spans="1:9" x14ac:dyDescent="0.25">
      <c r="A189" s="1">
        <v>2802776201012</v>
      </c>
      <c r="B189" t="str">
        <f>"INNOVIS PHARMA AEBE"</f>
        <v>INNOVIS PHARMA AEBE</v>
      </c>
      <c r="C189" t="str">
        <f>"277620101"</f>
        <v>277620101</v>
      </c>
      <c r="D189" s="8" t="str">
        <f>"2802776201012"</f>
        <v>2802776201012</v>
      </c>
      <c r="E189" s="8" t="str">
        <f>"OFUXAL TABL. 30x10MG"</f>
        <v>OFUXAL TABL. 30x10MG</v>
      </c>
      <c r="F189" s="9">
        <v>4.3899999999999997</v>
      </c>
      <c r="G189" s="8"/>
      <c r="H189" s="10">
        <v>0.05</v>
      </c>
      <c r="I189" s="8"/>
    </row>
    <row r="190" spans="1:9" s="12" customFormat="1" x14ac:dyDescent="0.25">
      <c r="A190" s="11">
        <v>2802943903022</v>
      </c>
      <c r="B190" s="12" t="str">
        <f>"PROMOPHARMA A.E."</f>
        <v>PROMOPHARMA A.E.</v>
      </c>
      <c r="C190" s="12" t="str">
        <f>"294390302"</f>
        <v>294390302</v>
      </c>
      <c r="D190" s="13" t="str">
        <f>"2802943903022"</f>
        <v>2802943903022</v>
      </c>
      <c r="E190" s="13" t="str">
        <f>"OLVION F.C.TABL. 4x100MG (SILDENAFIL)"</f>
        <v>OLVION F.C.TABL. 4x100MG (SILDENAFIL)</v>
      </c>
      <c r="F190" s="14">
        <v>11.03</v>
      </c>
      <c r="G190" s="13"/>
      <c r="H190" s="15">
        <v>0.1</v>
      </c>
      <c r="I190" s="43" t="s">
        <v>27</v>
      </c>
    </row>
    <row r="191" spans="1:9" s="12" customFormat="1" x14ac:dyDescent="0.25">
      <c r="A191" s="11">
        <v>2802943902025</v>
      </c>
      <c r="B191" s="12" t="str">
        <f>"PROMOPHARMA A.E."</f>
        <v>PROMOPHARMA A.E.</v>
      </c>
      <c r="C191" s="12" t="str">
        <f>"294390202"</f>
        <v>294390202</v>
      </c>
      <c r="D191" s="13" t="str">
        <f>"2802943902025"</f>
        <v>2802943902025</v>
      </c>
      <c r="E191" s="13" t="str">
        <f>"OLVION F.C.TABL. 4x50MG (SILDENAFIL)"</f>
        <v>OLVION F.C.TABL. 4x50MG (SILDENAFIL)</v>
      </c>
      <c r="F191" s="14">
        <v>9.1999999999999993</v>
      </c>
      <c r="G191" s="13"/>
      <c r="H191" s="15">
        <v>0.1</v>
      </c>
      <c r="I191" s="45"/>
    </row>
    <row r="192" spans="1:9" x14ac:dyDescent="0.25">
      <c r="A192" s="1">
        <v>2802994701011</v>
      </c>
      <c r="B192" t="str">
        <f>"MEDICAL PHARMAQUALITY A.E."</f>
        <v>MEDICAL PHARMAQUALITY A.E.</v>
      </c>
      <c r="C192" t="str">
        <f>"299470101"</f>
        <v>299470101</v>
      </c>
      <c r="D192" s="8" t="str">
        <f>"2802994701011"</f>
        <v>2802994701011</v>
      </c>
      <c r="E192" s="8" t="str">
        <f>"ORBIMAG EFF.TABL. 20x300MG"</f>
        <v>ORBIMAG EFF.TABL. 20x300MG</v>
      </c>
      <c r="F192" s="9">
        <v>7.87</v>
      </c>
      <c r="G192" s="8"/>
      <c r="H192" s="10">
        <v>0.05</v>
      </c>
      <c r="I192" s="8" t="s">
        <v>12</v>
      </c>
    </row>
    <row r="193" spans="1:9" x14ac:dyDescent="0.25">
      <c r="A193" s="1">
        <v>2802678902031</v>
      </c>
      <c r="B193" t="str">
        <f>"ANFARM ΕΛΛΑΣ ΑΕ"</f>
        <v>ANFARM ΕΛΛΑΣ ΑΕ</v>
      </c>
      <c r="C193" t="str">
        <f>"267890203"</f>
        <v>267890203</v>
      </c>
      <c r="D193" s="8" t="str">
        <f>"2802678902031"</f>
        <v>2802678902031</v>
      </c>
      <c r="E193" s="8" t="str">
        <f>"OZARIUM F.C.TABL. 30x100MG"</f>
        <v>OZARIUM F.C.TABL. 30x100MG</v>
      </c>
      <c r="F193" s="9">
        <v>4.0999999999999996</v>
      </c>
      <c r="G193" s="8"/>
      <c r="H193" s="10">
        <v>0.05</v>
      </c>
      <c r="I193" s="8"/>
    </row>
    <row r="194" spans="1:9" x14ac:dyDescent="0.25">
      <c r="A194" s="1">
        <v>2802602102018</v>
      </c>
      <c r="B194" t="str">
        <f>"BOTANIA LTD"</f>
        <v>BOTANIA LTD</v>
      </c>
      <c r="C194" t="str">
        <f>"260210201"</f>
        <v>260210201</v>
      </c>
      <c r="D194" s="8" t="str">
        <f>"2802602102018"</f>
        <v>2802602102018</v>
      </c>
      <c r="E194" s="8" t="str">
        <f>"PHOSPHATES/BOTANIA OR.SOL. 2x45ML"</f>
        <v>PHOSPHATES/BOTANIA OR.SOL. 2x45ML</v>
      </c>
      <c r="F194" s="9">
        <v>3.23</v>
      </c>
      <c r="G194" s="8"/>
      <c r="H194" s="10">
        <v>0.1</v>
      </c>
      <c r="I194" s="8" t="s">
        <v>14</v>
      </c>
    </row>
    <row r="195" spans="1:9" x14ac:dyDescent="0.25">
      <c r="A195" s="1">
        <v>2803097702035</v>
      </c>
      <c r="B195" t="str">
        <f>"DEMO  ABEE"</f>
        <v>DEMO  ABEE</v>
      </c>
      <c r="C195" t="str">
        <f>"309770203"</f>
        <v>309770203</v>
      </c>
      <c r="D195" s="8" t="str">
        <f>"2803097702035"</f>
        <v>2803097702035</v>
      </c>
      <c r="E195" s="8" t="str">
        <f>"PIESITON F.C.TABL. 28x150MG"</f>
        <v>PIESITON F.C.TABL. 28x150MG</v>
      </c>
      <c r="F195" s="9">
        <v>3.52</v>
      </c>
      <c r="G195" s="8"/>
      <c r="H195" s="10">
        <v>0.05</v>
      </c>
      <c r="I195" s="8"/>
    </row>
    <row r="196" spans="1:9" x14ac:dyDescent="0.25">
      <c r="A196" s="1">
        <v>2803097703032</v>
      </c>
      <c r="B196" t="str">
        <f>"DEMO  ABEE"</f>
        <v>DEMO  ABEE</v>
      </c>
      <c r="C196" t="str">
        <f>"309770303"</f>
        <v>309770303</v>
      </c>
      <c r="D196" s="8" t="str">
        <f>"2803097703032"</f>
        <v>2803097703032</v>
      </c>
      <c r="E196" s="8" t="str">
        <f>"PIESITON F.C.TABL. 28x300MG"</f>
        <v>PIESITON F.C.TABL. 28x300MG</v>
      </c>
      <c r="F196" s="9">
        <v>4.46</v>
      </c>
      <c r="G196" s="8"/>
      <c r="H196" s="10">
        <v>0.05</v>
      </c>
      <c r="I196" s="8"/>
    </row>
    <row r="197" spans="1:9" x14ac:dyDescent="0.25">
      <c r="A197" s="1">
        <v>2803097701038</v>
      </c>
      <c r="B197" t="str">
        <f>"DEMO  ABEE"</f>
        <v>DEMO  ABEE</v>
      </c>
      <c r="C197" t="str">
        <f>"309770103"</f>
        <v>309770103</v>
      </c>
      <c r="D197" s="8" t="str">
        <f>"2803097701038"</f>
        <v>2803097701038</v>
      </c>
      <c r="E197" s="8" t="str">
        <f>"PIESITON F.C.TABL. 28x75MG"</f>
        <v>PIESITON F.C.TABL. 28x75MG</v>
      </c>
      <c r="F197" s="9">
        <v>3.53</v>
      </c>
      <c r="G197" s="8"/>
      <c r="H197" s="10">
        <v>0.05</v>
      </c>
      <c r="I197" s="8"/>
    </row>
    <row r="198" spans="1:9" x14ac:dyDescent="0.25">
      <c r="A198" s="1">
        <v>2803097801066</v>
      </c>
      <c r="B198" t="str">
        <f>"DEMO  ABEE"</f>
        <v>DEMO  ABEE</v>
      </c>
      <c r="C198" t="str">
        <f>"309780106"</f>
        <v>309780106</v>
      </c>
      <c r="D198" s="8" t="str">
        <f>"2803097801066"</f>
        <v>2803097801066</v>
      </c>
      <c r="E198" s="8" t="str">
        <f>"PIESITON-R F.C.TABL. 28x(150+12,5)MG"</f>
        <v>PIESITON-R F.C.TABL. 28x(150+12,5)MG</v>
      </c>
      <c r="F198" s="9">
        <v>3.6</v>
      </c>
      <c r="G198" s="8"/>
      <c r="H198" s="10">
        <v>0.05</v>
      </c>
      <c r="I198" s="8"/>
    </row>
    <row r="199" spans="1:9" x14ac:dyDescent="0.25">
      <c r="A199" s="1">
        <v>2803097802216</v>
      </c>
      <c r="B199" t="str">
        <f>"DEMO  ABEE"</f>
        <v>DEMO  ABEE</v>
      </c>
      <c r="C199" t="str">
        <f>"29459"</f>
        <v>29459</v>
      </c>
      <c r="D199" s="8" t="str">
        <f>"2803097802216"</f>
        <v>2803097802216</v>
      </c>
      <c r="E199" s="8" t="str">
        <f>"PIESITON-R F.C.TABL. 28x(300+12.5)MG"</f>
        <v>PIESITON-R F.C.TABL. 28x(300+12.5)MG</v>
      </c>
      <c r="F199" s="9">
        <v>4.12</v>
      </c>
      <c r="G199" s="8"/>
      <c r="H199" s="10">
        <v>0.05</v>
      </c>
      <c r="I199" s="8"/>
    </row>
    <row r="200" spans="1:9" x14ac:dyDescent="0.25">
      <c r="A200" s="1">
        <v>2803118503023</v>
      </c>
      <c r="B200" t="str">
        <f>"MEDICAIR BIOSCIENCE SA"</f>
        <v>MEDICAIR BIOSCIENCE SA</v>
      </c>
      <c r="C200" t="str">
        <f>"311850302"</f>
        <v>311850302</v>
      </c>
      <c r="D200" s="8" t="str">
        <f>"2803118503023"</f>
        <v>2803118503023</v>
      </c>
      <c r="E200" s="8" t="str">
        <f>"PIRVER ORAL.SOL.10MG/ML 60ML"</f>
        <v>PIRVER ORAL.SOL.10MG/ML 60ML</v>
      </c>
      <c r="F200" s="9">
        <v>43.46</v>
      </c>
      <c r="G200" s="8"/>
      <c r="H200" s="10">
        <v>0.04</v>
      </c>
      <c r="I200" s="8"/>
    </row>
    <row r="201" spans="1:9" x14ac:dyDescent="0.25">
      <c r="A201" s="1">
        <v>2803145904015</v>
      </c>
      <c r="B201" t="str">
        <f t="shared" ref="B201:B206" si="2">"BENNETT ΦΑΡΜΑΚΕΥΤΙΚΗ Α.Ε"</f>
        <v>BENNETT ΦΑΡΜΑΚΕΥΤΙΚΗ Α.Ε</v>
      </c>
      <c r="C201" t="str">
        <f>"314590401"</f>
        <v>314590401</v>
      </c>
      <c r="D201" s="8" t="str">
        <f>"2803145904015"</f>
        <v>2803145904015</v>
      </c>
      <c r="E201" s="8" t="str">
        <f>"PREGANET CAPS 21x100MG"</f>
        <v>PREGANET CAPS 21x100MG</v>
      </c>
      <c r="F201" s="9">
        <v>3.69</v>
      </c>
      <c r="G201" s="8"/>
      <c r="H201" s="10">
        <v>0.05</v>
      </c>
      <c r="I201" s="8"/>
    </row>
    <row r="202" spans="1:9" x14ac:dyDescent="0.25">
      <c r="A202" s="1">
        <v>2803145905029</v>
      </c>
      <c r="B202" t="str">
        <f t="shared" si="2"/>
        <v>BENNETT ΦΑΡΜΑΚΕΥΤΙΚΗ Α.Ε</v>
      </c>
      <c r="C202" t="str">
        <f>"314590502"</f>
        <v>314590502</v>
      </c>
      <c r="D202" s="8" t="str">
        <f>"2803145905029"</f>
        <v>2803145905029</v>
      </c>
      <c r="E202" s="8" t="str">
        <f>"PREGANET CAPS 56x150MG"</f>
        <v>PREGANET CAPS 56x150MG</v>
      </c>
      <c r="F202" s="9">
        <v>7.4</v>
      </c>
      <c r="G202" s="8"/>
      <c r="H202" s="10">
        <v>0.05</v>
      </c>
      <c r="I202" s="8"/>
    </row>
    <row r="203" spans="1:9" x14ac:dyDescent="0.25">
      <c r="A203" s="1">
        <v>2803145901038</v>
      </c>
      <c r="B203" t="str">
        <f t="shared" si="2"/>
        <v>BENNETT ΦΑΡΜΑΚΕΥΤΙΚΗ Α.Ε</v>
      </c>
      <c r="C203" t="str">
        <f>"314590103"</f>
        <v>314590103</v>
      </c>
      <c r="D203" s="8" t="str">
        <f>"2803145901038"</f>
        <v>2803145901038</v>
      </c>
      <c r="E203" s="8" t="str">
        <f>"PREGANET CAPS 56x25MG"</f>
        <v>PREGANET CAPS 56x25MG</v>
      </c>
      <c r="F203" s="9">
        <v>2.84</v>
      </c>
      <c r="G203" s="8"/>
      <c r="H203" s="10">
        <v>0.05</v>
      </c>
      <c r="I203" s="8"/>
    </row>
    <row r="204" spans="1:9" x14ac:dyDescent="0.25">
      <c r="A204" s="1">
        <v>2803145908020</v>
      </c>
      <c r="B204" t="str">
        <f t="shared" si="2"/>
        <v>BENNETT ΦΑΡΜΑΚΕΥΤΙΚΗ Α.Ε</v>
      </c>
      <c r="C204" t="str">
        <f>"314590802"</f>
        <v>314590802</v>
      </c>
      <c r="D204" s="8" t="str">
        <f>"2803145908020"</f>
        <v>2803145908020</v>
      </c>
      <c r="E204" s="8" t="str">
        <f>"PREGANET CAPS 56x300MG"</f>
        <v>PREGANET CAPS 56x300MG</v>
      </c>
      <c r="F204" s="9">
        <v>13.83</v>
      </c>
      <c r="G204" s="8"/>
      <c r="H204" s="10">
        <v>0.05</v>
      </c>
      <c r="I204" s="8"/>
    </row>
    <row r="205" spans="1:9" x14ac:dyDescent="0.25">
      <c r="A205" s="1">
        <v>2803145902035</v>
      </c>
      <c r="B205" t="str">
        <f t="shared" si="2"/>
        <v>BENNETT ΦΑΡΜΑΚΕΥΤΙΚΗ Α.Ε</v>
      </c>
      <c r="C205" t="str">
        <f>"314590203"</f>
        <v>314590203</v>
      </c>
      <c r="D205" s="8" t="str">
        <f>"2803145902035"</f>
        <v>2803145902035</v>
      </c>
      <c r="E205" s="8" t="str">
        <f>"PREGANET CAPS 56x50MG"</f>
        <v>PREGANET CAPS 56x50MG</v>
      </c>
      <c r="F205" s="9">
        <v>7.2</v>
      </c>
      <c r="G205" s="8"/>
      <c r="H205" s="10">
        <v>0.05</v>
      </c>
      <c r="I205" s="8"/>
    </row>
    <row r="206" spans="1:9" x14ac:dyDescent="0.25">
      <c r="A206" s="1">
        <v>2803145903025</v>
      </c>
      <c r="B206" t="str">
        <f t="shared" si="2"/>
        <v>BENNETT ΦΑΡΜΑΚΕΥΤΙΚΗ Α.Ε</v>
      </c>
      <c r="C206" t="str">
        <f>"314590302"</f>
        <v>314590302</v>
      </c>
      <c r="D206" s="8" t="str">
        <f>"2803145903025"</f>
        <v>2803145903025</v>
      </c>
      <c r="E206" s="8" t="str">
        <f>"PREGANET CAPS 56x75MG"</f>
        <v>PREGANET CAPS 56x75MG</v>
      </c>
      <c r="F206" s="9">
        <v>5.18</v>
      </c>
      <c r="G206" s="8"/>
      <c r="H206" s="10">
        <v>0.05</v>
      </c>
      <c r="I206" s="8"/>
    </row>
    <row r="207" spans="1:9" x14ac:dyDescent="0.25">
      <c r="A207" s="1">
        <v>2803011805033</v>
      </c>
      <c r="B207" t="str">
        <f>"QUALIA PHARMA A.E"</f>
        <v>QUALIA PHARMA A.E</v>
      </c>
      <c r="C207" t="str">
        <f>"301180503"</f>
        <v>301180503</v>
      </c>
      <c r="D207" s="8" t="str">
        <f>"2803011805033"</f>
        <v>2803011805033</v>
      </c>
      <c r="E207" s="8" t="str">
        <f>"QUETIAPINE/TAD F.C.TABL. 30x300MG"</f>
        <v>QUETIAPINE/TAD F.C.TABL. 30x300MG</v>
      </c>
      <c r="F207" s="9">
        <v>15.01</v>
      </c>
      <c r="G207" s="8"/>
      <c r="H207" s="10">
        <v>0.05</v>
      </c>
      <c r="I207" s="8"/>
    </row>
    <row r="208" spans="1:9" x14ac:dyDescent="0.25">
      <c r="A208" s="1">
        <v>2803011802056</v>
      </c>
      <c r="B208" t="str">
        <f>"QUALIA PHARMA A.E"</f>
        <v>QUALIA PHARMA A.E</v>
      </c>
      <c r="C208" t="str">
        <f>"301180205"</f>
        <v>301180205</v>
      </c>
      <c r="D208" s="8" t="str">
        <f>"2803011802056"</f>
        <v>2803011802056</v>
      </c>
      <c r="E208" s="8" t="str">
        <f>"QUETIAPINE/TAD F.C.TABL. 60x100MG"</f>
        <v>QUETIAPINE/TAD F.C.TABL. 60x100MG</v>
      </c>
      <c r="F208" s="9">
        <v>14.16</v>
      </c>
      <c r="G208" s="8"/>
      <c r="H208" s="10">
        <v>0.05</v>
      </c>
      <c r="I208" s="8"/>
    </row>
    <row r="209" spans="1:9" x14ac:dyDescent="0.25">
      <c r="A209" s="1">
        <v>2803011804050</v>
      </c>
      <c r="B209" t="str">
        <f>"QUALIA PHARMA A.E"</f>
        <v>QUALIA PHARMA A.E</v>
      </c>
      <c r="C209" t="str">
        <f>"301180405"</f>
        <v>301180405</v>
      </c>
      <c r="D209" s="8" t="str">
        <f>"2803011804050"</f>
        <v>2803011804050</v>
      </c>
      <c r="E209" s="8" t="str">
        <f>"QUETIAPINE/TAD F.C.TABL. 60x200MG"</f>
        <v>QUETIAPINE/TAD F.C.TABL. 60x200MG</v>
      </c>
      <c r="F209" s="9">
        <v>22.11</v>
      </c>
      <c r="G209" s="8"/>
      <c r="H209" s="10">
        <v>0.05</v>
      </c>
      <c r="I209" s="8"/>
    </row>
    <row r="210" spans="1:9" x14ac:dyDescent="0.25">
      <c r="A210" s="1">
        <v>2803034401014</v>
      </c>
      <c r="B210" t="str">
        <f>"MEDICAIR BIOSCIENCE SA"</f>
        <v>MEDICAIR BIOSCIENCE SA</v>
      </c>
      <c r="C210" t="str">
        <f>"303440101"</f>
        <v>303440101</v>
      </c>
      <c r="D210" s="8" t="str">
        <f>"2803034401014"</f>
        <v>2803034401014</v>
      </c>
      <c r="E210" s="8" t="str">
        <f>"RAFREDA ORAL.SUSP. 250MG/5ML 150ML"</f>
        <v>RAFREDA ORAL.SUSP. 250MG/5ML 150ML</v>
      </c>
      <c r="F210" s="9">
        <v>6.47</v>
      </c>
      <c r="G210" s="8"/>
      <c r="H210" s="10">
        <v>0.04</v>
      </c>
      <c r="I210" s="8"/>
    </row>
    <row r="211" spans="1:9" x14ac:dyDescent="0.25">
      <c r="A211" s="1">
        <v>2802847101029</v>
      </c>
      <c r="B211" t="str">
        <f>"GENEPHARM A.E."</f>
        <v>GENEPHARM A.E.</v>
      </c>
      <c r="C211" t="str">
        <f>"284710101"</f>
        <v>284710101</v>
      </c>
      <c r="D211" s="8" t="str">
        <f>"2802847101029"</f>
        <v>2802847101029</v>
      </c>
      <c r="E211" s="8" t="str">
        <f>"RELIGAN 30TABL 2,5MG"</f>
        <v>RELIGAN 30TABL 2,5MG</v>
      </c>
      <c r="F211" s="9">
        <v>16.27</v>
      </c>
      <c r="G211" s="8"/>
      <c r="H211" s="10">
        <v>0.05</v>
      </c>
      <c r="I211" s="8"/>
    </row>
    <row r="212" spans="1:9" x14ac:dyDescent="0.25">
      <c r="A212" s="1">
        <v>2802567002026</v>
      </c>
      <c r="B212" t="str">
        <f>"ANFARM ΕΛΛΑΣ ΑΕ"</f>
        <v>ANFARM ΕΛΛΑΣ ΑΕ</v>
      </c>
      <c r="C212" t="str">
        <f>"256700202"</f>
        <v>256700202</v>
      </c>
      <c r="D212" s="8" t="str">
        <f>"2802567002026"</f>
        <v>2802567002026</v>
      </c>
      <c r="E212" s="8" t="str">
        <f>"RIDON TABL. 4x70MG"</f>
        <v>RIDON TABL. 4x70MG</v>
      </c>
      <c r="F212" s="9">
        <v>4.1399999999999997</v>
      </c>
      <c r="G212" s="8"/>
      <c r="H212" s="10">
        <v>0.05</v>
      </c>
      <c r="I212" s="8"/>
    </row>
    <row r="213" spans="1:9" x14ac:dyDescent="0.25">
      <c r="A213" s="1">
        <v>2802088402022</v>
      </c>
      <c r="B213" t="str">
        <f>"GENEPHARM A.E."</f>
        <v>GENEPHARM A.E.</v>
      </c>
      <c r="C213" t="str">
        <f>"208840202"</f>
        <v>208840202</v>
      </c>
      <c r="D213" s="8" t="str">
        <f>"2802088402022"</f>
        <v>2802088402022</v>
      </c>
      <c r="E213" s="8" t="str">
        <f>"RIFAGEN CAPS 14x100MG"</f>
        <v>RIFAGEN CAPS 14x100MG</v>
      </c>
      <c r="F213" s="9">
        <v>10.85</v>
      </c>
      <c r="G213" s="8"/>
      <c r="H213" s="10">
        <v>0.05</v>
      </c>
      <c r="I213" s="8"/>
    </row>
    <row r="214" spans="1:9" x14ac:dyDescent="0.25">
      <c r="A214" s="1">
        <v>2802869201011</v>
      </c>
      <c r="B214" t="str">
        <f>"LIBYTEC ΦΑΡΜΑΚΕΥΤΙΚΗ A.E."</f>
        <v>LIBYTEC ΦΑΡΜΑΚΕΥΤΙΚΗ A.E.</v>
      </c>
      <c r="C214" t="str">
        <f>"286920101"</f>
        <v>286920101</v>
      </c>
      <c r="D214" s="8" t="str">
        <f>"2802869201011"</f>
        <v>2802869201011</v>
      </c>
      <c r="E214" s="8" t="str">
        <f>"RISELIB F.C.TABL. 4x35 MG"</f>
        <v>RISELIB F.C.TABL. 4x35 MG</v>
      </c>
      <c r="F214" s="9">
        <v>5.42</v>
      </c>
      <c r="G214" s="8"/>
      <c r="H214" s="10">
        <v>0.05</v>
      </c>
      <c r="I214" s="8"/>
    </row>
    <row r="215" spans="1:9" x14ac:dyDescent="0.25">
      <c r="A215" s="1">
        <v>2802742902011</v>
      </c>
      <c r="B215" t="str">
        <f t="shared" ref="B215:B220" si="3">"BENNETT ΦΑΡΜΑΚΕΥΤΙΚΗ Α.Ε"</f>
        <v>BENNETT ΦΑΡΜΑΚΕΥΤΙΚΗ Α.Ε</v>
      </c>
      <c r="C215" t="str">
        <f>"23539"</f>
        <v>23539</v>
      </c>
      <c r="D215" s="8" t="str">
        <f>"2802742902011"</f>
        <v>2802742902011</v>
      </c>
      <c r="E215" s="8" t="str">
        <f>"RISPENET F.C.TABL. 20x1MG"</f>
        <v>RISPENET F.C.TABL. 20x1MG</v>
      </c>
      <c r="F215" s="9">
        <v>1.56</v>
      </c>
      <c r="G215" s="8"/>
      <c r="H215" s="10">
        <v>0.05</v>
      </c>
      <c r="I215" s="8"/>
    </row>
    <row r="216" spans="1:9" x14ac:dyDescent="0.25">
      <c r="A216" s="1">
        <v>2802742903018</v>
      </c>
      <c r="B216" t="str">
        <f t="shared" si="3"/>
        <v>BENNETT ΦΑΡΜΑΚΕΥΤΙΚΗ Α.Ε</v>
      </c>
      <c r="C216" t="str">
        <f>"23540"</f>
        <v>23540</v>
      </c>
      <c r="D216" s="8" t="str">
        <f>"2802742903018"</f>
        <v>2802742903018</v>
      </c>
      <c r="E216" s="8" t="str">
        <f>"RISPENET F.C.TABL. 20x2MG"</f>
        <v>RISPENET F.C.TABL. 20x2MG</v>
      </c>
      <c r="F216" s="9">
        <v>3.77</v>
      </c>
      <c r="G216" s="8"/>
      <c r="H216" s="10">
        <v>0.05</v>
      </c>
      <c r="I216" s="8"/>
    </row>
    <row r="217" spans="1:9" x14ac:dyDescent="0.25">
      <c r="A217" s="1">
        <v>2802742904015</v>
      </c>
      <c r="B217" t="str">
        <f t="shared" si="3"/>
        <v>BENNETT ΦΑΡΜΑΚΕΥΤΙΚΗ Α.Ε</v>
      </c>
      <c r="C217" t="str">
        <f>"23555"</f>
        <v>23555</v>
      </c>
      <c r="D217" s="8" t="str">
        <f>"2802742904015"</f>
        <v>2802742904015</v>
      </c>
      <c r="E217" s="8" t="str">
        <f>"RISPENET F.C.TABL. 20x3MG"</f>
        <v>RISPENET F.C.TABL. 20x3MG</v>
      </c>
      <c r="F217" s="9">
        <v>3.94</v>
      </c>
      <c r="G217" s="8"/>
      <c r="H217" s="10">
        <v>0.05</v>
      </c>
      <c r="I217" s="8"/>
    </row>
    <row r="218" spans="1:9" x14ac:dyDescent="0.25">
      <c r="A218" s="1">
        <v>2802742905012</v>
      </c>
      <c r="B218" t="str">
        <f t="shared" si="3"/>
        <v>BENNETT ΦΑΡΜΑΚΕΥΤΙΚΗ Α.Ε</v>
      </c>
      <c r="C218" t="str">
        <f>"23542"</f>
        <v>23542</v>
      </c>
      <c r="D218" s="8" t="str">
        <f>"2802742905012"</f>
        <v>2802742905012</v>
      </c>
      <c r="E218" s="8" t="str">
        <f>"RISPENET F.C.TABL. 20x4MG"</f>
        <v>RISPENET F.C.TABL. 20x4MG</v>
      </c>
      <c r="F218" s="9">
        <v>6.5</v>
      </c>
      <c r="G218" s="8"/>
      <c r="H218" s="10">
        <v>0.05</v>
      </c>
      <c r="I218" s="8"/>
    </row>
    <row r="219" spans="1:9" x14ac:dyDescent="0.25">
      <c r="A219" s="1">
        <v>2802742906019</v>
      </c>
      <c r="B219" t="str">
        <f t="shared" si="3"/>
        <v>BENNETT ΦΑΡΜΑΚΕΥΤΙΚΗ Α.Ε</v>
      </c>
      <c r="C219" t="str">
        <f>"23543"</f>
        <v>23543</v>
      </c>
      <c r="D219" s="8" t="str">
        <f>"2802742906019"</f>
        <v>2802742906019</v>
      </c>
      <c r="E219" s="8" t="str">
        <f>"RISPENET F.C.TABL. 20x6MG"</f>
        <v>RISPENET F.C.TABL. 20x6MG</v>
      </c>
      <c r="F219" s="9">
        <v>8.6199999999999992</v>
      </c>
      <c r="G219" s="8"/>
      <c r="H219" s="10">
        <v>0.05</v>
      </c>
      <c r="I219" s="8"/>
    </row>
    <row r="220" spans="1:9" x14ac:dyDescent="0.25">
      <c r="A220" s="1">
        <v>2802866301011</v>
      </c>
      <c r="B220" t="str">
        <f t="shared" si="3"/>
        <v>BENNETT ΦΑΡΜΑΚΕΥΤΙΚΗ Α.Ε</v>
      </c>
      <c r="C220" t="str">
        <f>"19139"</f>
        <v>19139</v>
      </c>
      <c r="D220" s="8" t="str">
        <f>"2802866301011"</f>
        <v>2802866301011</v>
      </c>
      <c r="E220" s="8" t="str">
        <f>"SALENGA INH.SUS.250MCG/DOSE"</f>
        <v>SALENGA INH.SUS.250MCG/DOSE</v>
      </c>
      <c r="F220" s="9">
        <v>9.9</v>
      </c>
      <c r="G220" s="8"/>
      <c r="H220" s="10">
        <v>0.05</v>
      </c>
      <c r="I220" s="8"/>
    </row>
    <row r="221" spans="1:9" x14ac:dyDescent="0.25">
      <c r="A221" s="1">
        <v>2802900001020</v>
      </c>
      <c r="B221" t="str">
        <f>"ANFARM ΕΛΛΑΣ ΑΕ"</f>
        <v>ANFARM ΕΛΛΑΣ ΑΕ</v>
      </c>
      <c r="C221" t="str">
        <f>"25159"</f>
        <v>25159</v>
      </c>
      <c r="D221" s="8" t="str">
        <f>"2802900001020"</f>
        <v>2802900001020</v>
      </c>
      <c r="E221" s="8" t="str">
        <f>"SANVIX F.C.TABL. 28x75MG"</f>
        <v>SANVIX F.C.TABL. 28x75MG</v>
      </c>
      <c r="F221" s="9">
        <v>6.03</v>
      </c>
      <c r="G221" s="8"/>
      <c r="H221" s="10">
        <v>0.05</v>
      </c>
      <c r="I221" s="8"/>
    </row>
    <row r="222" spans="1:9" x14ac:dyDescent="0.25">
      <c r="A222" s="1">
        <v>2802571601024</v>
      </c>
      <c r="B222" t="str">
        <f>"ANFARM ΕΛΛΑΣ ΑΕ"</f>
        <v>ANFARM ΕΛΛΑΣ ΑΕ</v>
      </c>
      <c r="C222" t="str">
        <f>"257160102"</f>
        <v>257160102</v>
      </c>
      <c r="D222" s="8" t="str">
        <f>"2802571601024"</f>
        <v>2802571601024</v>
      </c>
      <c r="E222" s="8" t="str">
        <f>"SARMEL CREAM 50GR"</f>
        <v>SARMEL CREAM 50GR</v>
      </c>
      <c r="F222" s="9">
        <v>6.14</v>
      </c>
      <c r="G222" s="8"/>
      <c r="H222" s="10">
        <v>0.05</v>
      </c>
      <c r="I222" s="8"/>
    </row>
    <row r="223" spans="1:9" x14ac:dyDescent="0.25">
      <c r="A223" s="1">
        <v>2802764401028</v>
      </c>
      <c r="B223" t="str">
        <f>"MEDICAL PHARMAQUALITY A.E."</f>
        <v>MEDICAL PHARMAQUALITY A.E.</v>
      </c>
      <c r="C223" t="str">
        <f>"276440102"</f>
        <v>276440102</v>
      </c>
      <c r="D223" s="8" t="str">
        <f>"2802764401028"</f>
        <v>2802764401028</v>
      </c>
      <c r="E223" s="8" t="str">
        <f>"SENSOCAPS CREAM 0,075% 100G"</f>
        <v>SENSOCAPS CREAM 0,075% 100G</v>
      </c>
      <c r="F223" s="9">
        <v>10.61</v>
      </c>
      <c r="G223" s="8"/>
      <c r="H223" s="10">
        <v>0.05</v>
      </c>
      <c r="I223" s="8"/>
    </row>
    <row r="224" spans="1:9" x14ac:dyDescent="0.25">
      <c r="A224" s="1">
        <v>2802764401011</v>
      </c>
      <c r="B224" t="str">
        <f>"MEDICAL PHARMAQUALITY A.E."</f>
        <v>MEDICAL PHARMAQUALITY A.E.</v>
      </c>
      <c r="C224" t="str">
        <f>"276440101"</f>
        <v>276440101</v>
      </c>
      <c r="D224" s="8" t="str">
        <f>"2802764401011"</f>
        <v>2802764401011</v>
      </c>
      <c r="E224" s="8" t="str">
        <f>"SENSOCAPS CREAM 0,075% 45GR"</f>
        <v>SENSOCAPS CREAM 0,075% 45GR</v>
      </c>
      <c r="F224" s="9">
        <v>6.19</v>
      </c>
      <c r="G224" s="8"/>
      <c r="H224" s="10">
        <v>0.05</v>
      </c>
      <c r="I224" s="8"/>
    </row>
    <row r="225" spans="1:9" x14ac:dyDescent="0.25">
      <c r="A225" s="1">
        <v>2802652701018</v>
      </c>
      <c r="B225" t="str">
        <f>"INNOVIS PHARMA AEBE"</f>
        <v>INNOVIS PHARMA AEBE</v>
      </c>
      <c r="C225" t="str">
        <f>"265270101"</f>
        <v>265270101</v>
      </c>
      <c r="D225" s="8" t="str">
        <f>"2802652701018"</f>
        <v>2802652701018</v>
      </c>
      <c r="E225" s="8" t="str">
        <f>"SEROR F.C.TABL. 28x20MG"</f>
        <v>SEROR F.C.TABL. 28x20MG</v>
      </c>
      <c r="F225" s="9">
        <v>4.18</v>
      </c>
      <c r="G225" s="8"/>
      <c r="H225" s="10">
        <v>0.05</v>
      </c>
      <c r="I225" s="8"/>
    </row>
    <row r="226" spans="1:9" x14ac:dyDescent="0.25">
      <c r="A226" s="1">
        <v>2802652702015</v>
      </c>
      <c r="B226" t="str">
        <f>"INNOVIS PHARMA AEBE"</f>
        <v>INNOVIS PHARMA AEBE</v>
      </c>
      <c r="C226" t="str">
        <f>"265270201"</f>
        <v>265270201</v>
      </c>
      <c r="D226" s="8" t="str">
        <f>"2802652702015"</f>
        <v>2802652702015</v>
      </c>
      <c r="E226" s="8" t="str">
        <f>"SEROR F.C.TABL. 28x40MG"</f>
        <v>SEROR F.C.TABL. 28x40MG</v>
      </c>
      <c r="F226" s="9">
        <v>8.1300000000000008</v>
      </c>
      <c r="G226" s="8"/>
      <c r="H226" s="10">
        <v>0.05</v>
      </c>
      <c r="I226" s="8"/>
    </row>
    <row r="227" spans="1:9" x14ac:dyDescent="0.25">
      <c r="A227" s="1">
        <v>2809140601010</v>
      </c>
      <c r="B227" t="str">
        <f>"STILVI PHARMACEUTICALS  S.A."</f>
        <v>STILVI PHARMACEUTICALS  S.A.</v>
      </c>
      <c r="C227" t="str">
        <f>"5079"</f>
        <v>5079</v>
      </c>
      <c r="D227" s="8" t="str">
        <f>"2809140601010"</f>
        <v>2809140601010</v>
      </c>
      <c r="E227" s="8" t="str">
        <f>"SII-ONCO-BCG AMP. 3x40MG/ML"</f>
        <v>SII-ONCO-BCG AMP. 3x40MG/ML</v>
      </c>
      <c r="F227" s="9">
        <v>165.36</v>
      </c>
      <c r="G227" s="8"/>
      <c r="H227" s="10">
        <v>0.05</v>
      </c>
      <c r="I227" s="8"/>
    </row>
    <row r="228" spans="1:9" x14ac:dyDescent="0.25">
      <c r="A228" s="1">
        <v>2803253103010</v>
      </c>
      <c r="B228" t="str">
        <f>"PROMOPHARMA A.E."</f>
        <v>PROMOPHARMA A.E.</v>
      </c>
      <c r="C228" t="str">
        <f>"325310301"</f>
        <v>325310301</v>
      </c>
      <c r="D228" s="8" t="str">
        <f>"2803253103010"</f>
        <v>2803253103010</v>
      </c>
      <c r="E228" s="8" t="str">
        <f>"SILDENAFIL/BAUSCH HEALTH F.C.TABL.4x100MG"</f>
        <v>SILDENAFIL/BAUSCH HEALTH F.C.TABL.4x100MG</v>
      </c>
      <c r="F228" s="9">
        <v>11.03</v>
      </c>
      <c r="G228" s="8"/>
      <c r="H228" s="10">
        <v>0.1</v>
      </c>
      <c r="I228" s="8"/>
    </row>
    <row r="229" spans="1:9" x14ac:dyDescent="0.25">
      <c r="A229" s="1">
        <v>2802848003148</v>
      </c>
      <c r="B229" t="str">
        <f>"FARMASYN AE"</f>
        <v>FARMASYN AE</v>
      </c>
      <c r="C229" t="str">
        <f>"284800314"</f>
        <v>284800314</v>
      </c>
      <c r="D229" s="8" t="str">
        <f>"2802848003148"</f>
        <v>2802848003148</v>
      </c>
      <c r="E229" s="8" t="str">
        <f>"SILDENAFIL/SANDOZ F.C.TABL.4x100MG"</f>
        <v>SILDENAFIL/SANDOZ F.C.TABL.4x100MG</v>
      </c>
      <c r="F229" s="9">
        <v>11.03</v>
      </c>
      <c r="G229" s="8"/>
      <c r="H229" s="10">
        <v>7.0000000000000007E-2</v>
      </c>
      <c r="I229" s="8"/>
    </row>
    <row r="230" spans="1:9" x14ac:dyDescent="0.25">
      <c r="A230" s="1">
        <v>2802848002141</v>
      </c>
      <c r="B230" t="str">
        <f>"FARMASYN AE"</f>
        <v>FARMASYN AE</v>
      </c>
      <c r="C230" t="str">
        <f>"284800214"</f>
        <v>284800214</v>
      </c>
      <c r="D230" s="8" t="str">
        <f>"2802848002141"</f>
        <v>2802848002141</v>
      </c>
      <c r="E230" s="8" t="str">
        <f>"SILDENAFIL/SANDOZ F.C.TABL.4x50MG"</f>
        <v>SILDENAFIL/SANDOZ F.C.TABL.4x50MG</v>
      </c>
      <c r="F230" s="9">
        <v>9.1999999999999993</v>
      </c>
      <c r="G230" s="8"/>
      <c r="H230" s="10">
        <v>7.0000000000000007E-2</v>
      </c>
      <c r="I230" s="8"/>
    </row>
    <row r="231" spans="1:9" x14ac:dyDescent="0.25">
      <c r="A231" s="1">
        <v>2802579501029</v>
      </c>
      <c r="B231" t="str">
        <f>"VIVAX ΦΑΡΜΑΚΕΥΤΙΚΗ ΕΠΕ"</f>
        <v>VIVAX ΦΑΡΜΑΚΕΥΤΙΚΗ ΕΠΕ</v>
      </c>
      <c r="C231" t="str">
        <f>"257950102"</f>
        <v>257950102</v>
      </c>
      <c r="D231" s="8" t="str">
        <f>"2802579501029"</f>
        <v>2802579501029</v>
      </c>
      <c r="E231" s="8" t="str">
        <f>"SIMVALID F.C.TABL. 30x20MG"</f>
        <v>SIMVALID F.C.TABL. 30x20MG</v>
      </c>
      <c r="F231" s="9">
        <v>5.28</v>
      </c>
      <c r="G231" s="8"/>
      <c r="H231" s="10">
        <v>0.05</v>
      </c>
      <c r="I231" s="8"/>
    </row>
    <row r="232" spans="1:9" x14ac:dyDescent="0.25">
      <c r="A232" s="1">
        <v>2802579502026</v>
      </c>
      <c r="B232" t="str">
        <f>"VIVAX ΦΑΡΜΑΚΕΥΤΙΚΗ ΕΠΕ"</f>
        <v>VIVAX ΦΑΡΜΑΚΕΥΤΙΚΗ ΕΠΕ</v>
      </c>
      <c r="C232" t="str">
        <f>"257950202"</f>
        <v>257950202</v>
      </c>
      <c r="D232" s="8" t="str">
        <f>"2802579502026"</f>
        <v>2802579502026</v>
      </c>
      <c r="E232" s="8" t="str">
        <f>"SIMVALID F.C.TABL. 30x40MG"</f>
        <v>SIMVALID F.C.TABL. 30x40MG</v>
      </c>
      <c r="F232" s="9">
        <v>6.16</v>
      </c>
      <c r="G232" s="8"/>
      <c r="H232" s="10">
        <v>0.05</v>
      </c>
      <c r="I232" s="8"/>
    </row>
    <row r="233" spans="1:9" x14ac:dyDescent="0.25">
      <c r="A233" s="1">
        <v>2802681001028</v>
      </c>
      <c r="B233" t="str">
        <f>"LIBYTEC ΦΑΡΜΑΚΕΥΤΙΚΗ A.E."</f>
        <v>LIBYTEC ΦΑΡΜΑΚΕΥΤΙΚΗ A.E.</v>
      </c>
      <c r="C233" t="str">
        <f>"268100102"</f>
        <v>268100102</v>
      </c>
      <c r="D233" s="8" t="str">
        <f>"2802681001028"</f>
        <v>2802681001028</v>
      </c>
      <c r="E233" s="8" t="str">
        <f>"SIMVASTEROL F.C.TABL. 30x40MG"</f>
        <v>SIMVASTEROL F.C.TABL. 30x40MG</v>
      </c>
      <c r="F233" s="9">
        <v>6.16</v>
      </c>
      <c r="G233" s="8"/>
      <c r="H233" s="10">
        <v>0.05</v>
      </c>
      <c r="I233" s="8"/>
    </row>
    <row r="234" spans="1:9" x14ac:dyDescent="0.25">
      <c r="A234" s="1">
        <v>2803018202040</v>
      </c>
      <c r="B234" t="str">
        <f>"DEMO  ABEE"</f>
        <v>DEMO  ABEE</v>
      </c>
      <c r="C234" t="str">
        <f>"4663"</f>
        <v>4663</v>
      </c>
      <c r="D234" s="8" t="str">
        <f>"2803018202040"</f>
        <v>2803018202040</v>
      </c>
      <c r="E234" s="8" t="str">
        <f>"SINGODEM CHEW.TABL. 30x5MG"</f>
        <v>SINGODEM CHEW.TABL. 30x5MG</v>
      </c>
      <c r="F234" s="9">
        <v>7.36</v>
      </c>
      <c r="G234" s="8"/>
      <c r="H234" s="10">
        <v>0.05</v>
      </c>
      <c r="I234" s="8"/>
    </row>
    <row r="235" spans="1:9" x14ac:dyDescent="0.25">
      <c r="A235" s="1">
        <v>2803018203016</v>
      </c>
      <c r="B235" t="str">
        <f>"DEMO  ABEE"</f>
        <v>DEMO  ABEE</v>
      </c>
      <c r="C235" t="str">
        <f>"301820301"</f>
        <v>301820301</v>
      </c>
      <c r="D235" s="8" t="str">
        <f>"2803018203016"</f>
        <v>2803018203016</v>
      </c>
      <c r="E235" s="8" t="str">
        <f>"SINGODEM F.C.TABL. 14x10MG"</f>
        <v>SINGODEM F.C.TABL. 14x10MG</v>
      </c>
      <c r="F235" s="9">
        <v>3.44</v>
      </c>
      <c r="G235" s="8"/>
      <c r="H235" s="10">
        <v>0.05</v>
      </c>
      <c r="I235" s="8"/>
    </row>
    <row r="236" spans="1:9" x14ac:dyDescent="0.25">
      <c r="A236" s="1">
        <v>2803018203047</v>
      </c>
      <c r="B236" t="str">
        <f>"DEMO  ABEE"</f>
        <v>DEMO  ABEE</v>
      </c>
      <c r="C236" t="str">
        <f>"4664"</f>
        <v>4664</v>
      </c>
      <c r="D236" s="8" t="str">
        <f>"2803018203047"</f>
        <v>2803018203047</v>
      </c>
      <c r="E236" s="8" t="str">
        <f>"SINGODEM F.C.TABL. 30x10MG"</f>
        <v>SINGODEM F.C.TABL. 30x10MG</v>
      </c>
      <c r="F236" s="9">
        <v>7.36</v>
      </c>
      <c r="G236" s="8"/>
      <c r="H236" s="10">
        <v>0.05</v>
      </c>
      <c r="I236" s="8"/>
    </row>
    <row r="237" spans="1:9" x14ac:dyDescent="0.25">
      <c r="A237" s="1">
        <v>2802501001023</v>
      </c>
      <c r="B237" t="str">
        <f>"ANFARM ΕΛΛΑΣ ΑΕ"</f>
        <v>ANFARM ΕΛΛΑΣ ΑΕ</v>
      </c>
      <c r="C237" t="str">
        <f>"051552"</f>
        <v>051552</v>
      </c>
      <c r="D237" s="8" t="str">
        <f>"2802501001023"</f>
        <v>2802501001023</v>
      </c>
      <c r="E237" s="8" t="str">
        <f>"SIVINAR F.C.TABL. 30x20MG"</f>
        <v>SIVINAR F.C.TABL. 30x20MG</v>
      </c>
      <c r="F237" s="9">
        <v>5.28</v>
      </c>
      <c r="G237" s="8"/>
      <c r="H237" s="10">
        <v>0.05</v>
      </c>
      <c r="I237" s="8"/>
    </row>
    <row r="238" spans="1:9" x14ac:dyDescent="0.25">
      <c r="A238" s="1">
        <v>2802501002020</v>
      </c>
      <c r="B238" t="str">
        <f>"ANFARM ΕΛΛΑΣ ΑΕ"</f>
        <v>ANFARM ΕΛΛΑΣ ΑΕ</v>
      </c>
      <c r="C238" t="str">
        <f>"250100202"</f>
        <v>250100202</v>
      </c>
      <c r="D238" s="8" t="str">
        <f>"2802501002020"</f>
        <v>2802501002020</v>
      </c>
      <c r="E238" s="8" t="str">
        <f>"SIVINAR F.C.TABL. 30x40MG"</f>
        <v>SIVINAR F.C.TABL. 30x40MG</v>
      </c>
      <c r="F238" s="9">
        <v>6.16</v>
      </c>
      <c r="G238" s="8"/>
      <c r="H238" s="10">
        <v>0.05</v>
      </c>
      <c r="I238" s="8"/>
    </row>
    <row r="239" spans="1:9" x14ac:dyDescent="0.25">
      <c r="A239" s="1">
        <v>2803077402054</v>
      </c>
      <c r="B239" t="str">
        <f>"GENEPHARM A.E."</f>
        <v>GENEPHARM A.E.</v>
      </c>
      <c r="C239" t="str">
        <f>"307740205"</f>
        <v>307740205</v>
      </c>
      <c r="D239" s="8" t="str">
        <f>"2803077402054"</f>
        <v>2803077402054</v>
      </c>
      <c r="E239" s="8" t="str">
        <f>"SOLICARE F.C.TABL. 30x10MG"</f>
        <v>SOLICARE F.C.TABL. 30x10MG</v>
      </c>
      <c r="F239" s="9">
        <v>10.3</v>
      </c>
      <c r="G239" s="8"/>
      <c r="H239" s="10">
        <v>0.05</v>
      </c>
      <c r="I239" s="8"/>
    </row>
    <row r="240" spans="1:9" x14ac:dyDescent="0.25">
      <c r="A240" s="1">
        <v>2803077401057</v>
      </c>
      <c r="B240" t="str">
        <f>"GENEPHARM A.E."</f>
        <v>GENEPHARM A.E.</v>
      </c>
      <c r="C240" t="str">
        <f>"307740105"</f>
        <v>307740105</v>
      </c>
      <c r="D240" s="8" t="str">
        <f>"2803077401057"</f>
        <v>2803077401057</v>
      </c>
      <c r="E240" s="8" t="str">
        <f>"SOLICARE F.C.TABL. 30x5MG"</f>
        <v>SOLICARE F.C.TABL. 30x5MG</v>
      </c>
      <c r="F240" s="9">
        <v>8.86</v>
      </c>
      <c r="G240" s="8"/>
      <c r="H240" s="10">
        <v>0.05</v>
      </c>
      <c r="I240" s="8"/>
    </row>
    <row r="241" spans="1:9" x14ac:dyDescent="0.25">
      <c r="A241" s="1">
        <v>2802455303013</v>
      </c>
      <c r="B241" t="str">
        <f>"INTERMED Ι. &amp; Ε.ΤΣΕΤΗ ΦΑΡΜΑΚΕΥΤΙΚΑ ΕΡΓΑΣΤΗΡΙΑ Α.Β.Ε.Ε."</f>
        <v>INTERMED Ι. &amp; Ε.ΤΣΕΤΗ ΦΑΡΜΑΚΕΥΤΙΚΑ ΕΡΓΑΣΤΗΡΙΑ Α.Β.Ε.Ε.</v>
      </c>
      <c r="C241" t="str">
        <f>"245530301"</f>
        <v>245530301</v>
      </c>
      <c r="D241" s="8" t="str">
        <f>"2802455303013"</f>
        <v>2802455303013</v>
      </c>
      <c r="E241" s="8" t="str">
        <f>"SOLUMAG FORTE ORAL SOL. 20x10MLx2810MG"</f>
        <v>SOLUMAG FORTE ORAL SOL. 20x10MLx2810MG</v>
      </c>
      <c r="F241" s="9">
        <v>5.53</v>
      </c>
      <c r="G241" s="8"/>
      <c r="H241" s="10">
        <v>0.05</v>
      </c>
      <c r="I241" s="8"/>
    </row>
    <row r="242" spans="1:9" x14ac:dyDescent="0.25">
      <c r="A242" s="1">
        <v>2802455301019</v>
      </c>
      <c r="B242" t="str">
        <f>"INTERMED Ι. &amp; Ε.ΤΣΕΤΗ ΦΑΡΜΑΚΕΥΤΙΚΑ ΕΡΓΑΣΤΗΡΙΑ Α.Β.Ε.Ε."</f>
        <v>INTERMED Ι. &amp; Ε.ΤΣΕΤΗ ΦΑΡΜΑΚΕΥΤΙΚΑ ΕΡΓΑΣΤΗΡΙΑ Α.Β.Ε.Ε.</v>
      </c>
      <c r="C242" t="str">
        <f>"245530101"</f>
        <v>245530101</v>
      </c>
      <c r="D242" s="8" t="str">
        <f>"2802455301019"</f>
        <v>2802455301019</v>
      </c>
      <c r="E242" s="8" t="str">
        <f>"SOLUMAG ORAL SOL. 20x10MLx1500MG"</f>
        <v>SOLUMAG ORAL SOL. 20x10MLx1500MG</v>
      </c>
      <c r="F242" s="9">
        <v>2.94</v>
      </c>
      <c r="G242" s="8"/>
      <c r="H242" s="10">
        <v>0.05</v>
      </c>
      <c r="I242" s="8"/>
    </row>
    <row r="243" spans="1:9" x14ac:dyDescent="0.25">
      <c r="A243" s="1">
        <v>2800085803019</v>
      </c>
      <c r="B243" t="str">
        <f>"ADELCO-ΧΡΩΜΑΤΟΥΡΓΕΙΑ ΑΘΗΝΩΝ Α.Ε."</f>
        <v>ADELCO-ΧΡΩΜΑΤΟΥΡΓΕΙΑ ΑΘΗΝΩΝ Α.Ε.</v>
      </c>
      <c r="C243" t="str">
        <f>"03437"</f>
        <v>03437</v>
      </c>
      <c r="D243" s="8" t="str">
        <f>"2800085803019"</f>
        <v>2800085803019</v>
      </c>
      <c r="E243" s="8" t="str">
        <f>"STEDON 30 TABL 5 MG ***Δ"</f>
        <v>STEDON 30 TABL 5 MG ***Δ</v>
      </c>
      <c r="F243" s="9">
        <v>0.95</v>
      </c>
      <c r="G243" s="8"/>
      <c r="H243" s="10">
        <v>0.05</v>
      </c>
      <c r="I243" s="8"/>
    </row>
    <row r="244" spans="1:9" x14ac:dyDescent="0.25">
      <c r="A244" s="1">
        <v>2802330401032</v>
      </c>
      <c r="B244" t="str">
        <f>"PAUL HARTMANN HELLAS A.E."</f>
        <v>PAUL HARTMANN HELLAS A.E.</v>
      </c>
      <c r="C244" t="str">
        <f>"052785"</f>
        <v>052785</v>
      </c>
      <c r="D244" s="8" t="str">
        <f>"2802330401032"</f>
        <v>2802330401032</v>
      </c>
      <c r="E244" s="8" t="str">
        <f>"STERILLIUM CUT.SOL. 1000ML"</f>
        <v>STERILLIUM CUT.SOL. 1000ML</v>
      </c>
      <c r="F244" s="9">
        <v>8.09</v>
      </c>
      <c r="G244" s="8"/>
      <c r="H244" s="10">
        <v>0.04</v>
      </c>
      <c r="I244" s="8"/>
    </row>
    <row r="245" spans="1:9" x14ac:dyDescent="0.25">
      <c r="A245" s="1">
        <v>2802330401025</v>
      </c>
      <c r="B245" t="str">
        <f>"PAUL HARTMANN HELLAS A.E."</f>
        <v>PAUL HARTMANN HELLAS A.E.</v>
      </c>
      <c r="C245" t="str">
        <f>"233040102"</f>
        <v>233040102</v>
      </c>
      <c r="D245" s="8" t="str">
        <f>"2802330401025"</f>
        <v>2802330401025</v>
      </c>
      <c r="E245" s="8" t="str">
        <f>"STERILLIUM CUT.SOL. 500ML"</f>
        <v>STERILLIUM CUT.SOL. 500ML</v>
      </c>
      <c r="F245" s="9">
        <v>4.04</v>
      </c>
      <c r="G245" s="8"/>
      <c r="H245" s="10">
        <v>0.04</v>
      </c>
      <c r="I245" s="8"/>
    </row>
    <row r="246" spans="1:9" x14ac:dyDescent="0.25">
      <c r="A246" s="1">
        <v>2801951903017</v>
      </c>
      <c r="B246" t="str">
        <f>"ANFARM ΕΛΛΑΣ ΑΕ"</f>
        <v>ANFARM ΕΛΛΑΣ ΑΕ</v>
      </c>
      <c r="C246" t="str">
        <f>"195190301"</f>
        <v>195190301</v>
      </c>
      <c r="D246" s="8" t="str">
        <f>"2801951903017"</f>
        <v>2801951903017</v>
      </c>
      <c r="E246" s="8" t="str">
        <f>"STOPAREN PD.INJ.SOL.(I.V.)VIAL 1x1GR+SOL. 4ML"</f>
        <v>STOPAREN PD.INJ.SOL.(I.V.)VIAL 1x1GR+SOL. 4ML</v>
      </c>
      <c r="F246" s="9">
        <v>1.5</v>
      </c>
      <c r="G246" s="8"/>
      <c r="H246" s="10">
        <v>0.05</v>
      </c>
      <c r="I246" s="8"/>
    </row>
    <row r="247" spans="1:9" x14ac:dyDescent="0.25">
      <c r="A247" s="1">
        <v>2803113801025</v>
      </c>
      <c r="B247" t="str">
        <f>"MEDICAIR BIOSCIENCE SA"</f>
        <v>MEDICAIR BIOSCIENCE SA</v>
      </c>
      <c r="C247" t="str">
        <f>"311380102"</f>
        <v>311380102</v>
      </c>
      <c r="D247" s="8" t="str">
        <f>"2803113801025"</f>
        <v>2803113801025</v>
      </c>
      <c r="E247" s="8" t="str">
        <f>"SUOMICON ORAL.SOL. 10MG/5ML 50ML"</f>
        <v>SUOMICON ORAL.SOL. 10MG/5ML 50ML</v>
      </c>
      <c r="F247" s="9">
        <v>35.880000000000003</v>
      </c>
      <c r="G247" s="8"/>
      <c r="H247" s="10">
        <v>0.04</v>
      </c>
      <c r="I247" s="8"/>
    </row>
    <row r="248" spans="1:9" x14ac:dyDescent="0.25">
      <c r="A248" s="1">
        <v>2803113802015</v>
      </c>
      <c r="B248" t="str">
        <f>"MEDICAIR BIOSCIENCE SA"</f>
        <v>MEDICAIR BIOSCIENCE SA</v>
      </c>
      <c r="C248" t="str">
        <f>"311380201"</f>
        <v>311380201</v>
      </c>
      <c r="D248" s="8" t="str">
        <f>"2803113802015"</f>
        <v>2803113802015</v>
      </c>
      <c r="E248" s="8" t="str">
        <f>"SUOMICON ORAL.SOL. 20MG/5ML 30ML"</f>
        <v>SUOMICON ORAL.SOL. 20MG/5ML 30ML</v>
      </c>
      <c r="F248" s="9">
        <v>42.95</v>
      </c>
      <c r="G248" s="8"/>
      <c r="H248" s="10">
        <v>0.04</v>
      </c>
      <c r="I248" s="8"/>
    </row>
    <row r="249" spans="1:9" x14ac:dyDescent="0.25">
      <c r="A249" s="1">
        <v>2803097202023</v>
      </c>
      <c r="B249" t="str">
        <f>"S.J.A. PHARM LTD"</f>
        <v>S.J.A. PHARM LTD</v>
      </c>
      <c r="C249" t="str">
        <f>"309720202"</f>
        <v>309720202</v>
      </c>
      <c r="D249" s="8" t="str">
        <f>"2803097202023"</f>
        <v>2803097202023</v>
      </c>
      <c r="E249" s="8" t="str">
        <f>"TADALAFIL/MYLAN F.C.TABL. 28x5MG"</f>
        <v>TADALAFIL/MYLAN F.C.TABL. 28x5MG</v>
      </c>
      <c r="F249" s="9">
        <v>39.56</v>
      </c>
      <c r="G249" s="8"/>
      <c r="H249" s="10">
        <v>0.05</v>
      </c>
      <c r="I249" s="8"/>
    </row>
    <row r="250" spans="1:9" x14ac:dyDescent="0.25">
      <c r="A250" s="1">
        <v>2803126302052</v>
      </c>
      <c r="B250" t="str">
        <f>"FARMASYN AE"</f>
        <v>FARMASYN AE</v>
      </c>
      <c r="C250" t="str">
        <f>"312630205"</f>
        <v>312630205</v>
      </c>
      <c r="D250" s="8" t="str">
        <f>"2803126302052"</f>
        <v>2803126302052</v>
      </c>
      <c r="E250" s="8" t="str">
        <f>"TADALAFIL/SANDOZ F.C.TABL. 28x5MG"</f>
        <v>TADALAFIL/SANDOZ F.C.TABL. 28x5MG</v>
      </c>
      <c r="F250" s="9">
        <v>39.56</v>
      </c>
      <c r="G250" s="8"/>
      <c r="H250" s="10">
        <v>7.0000000000000007E-2</v>
      </c>
      <c r="I250" s="8"/>
    </row>
    <row r="251" spans="1:9" x14ac:dyDescent="0.25">
      <c r="A251" s="1">
        <v>2803126303066</v>
      </c>
      <c r="B251" t="str">
        <f>"FARMASYN AE"</f>
        <v>FARMASYN AE</v>
      </c>
      <c r="C251" t="str">
        <f>"312630408"</f>
        <v>312630408</v>
      </c>
      <c r="D251" s="8" t="str">
        <f>"2803126303066"</f>
        <v>2803126303066</v>
      </c>
      <c r="E251" s="8" t="str">
        <f>"TADALAFIL/SANDOZ F.C.TABL. 4x10MG"</f>
        <v>TADALAFIL/SANDOZ F.C.TABL. 4x10MG</v>
      </c>
      <c r="F251" s="9">
        <v>17.920000000000002</v>
      </c>
      <c r="G251" s="8"/>
      <c r="H251" s="10">
        <v>7.0000000000000007E-2</v>
      </c>
      <c r="I251" s="8"/>
    </row>
    <row r="252" spans="1:9" x14ac:dyDescent="0.25">
      <c r="A252" s="1">
        <v>2803126304087</v>
      </c>
      <c r="B252" t="str">
        <f>"FARMASYN AE"</f>
        <v>FARMASYN AE</v>
      </c>
      <c r="C252" t="str">
        <f>"34401"</f>
        <v>34401</v>
      </c>
      <c r="D252" s="8" t="str">
        <f>"2803126304087"</f>
        <v>2803126304087</v>
      </c>
      <c r="E252" s="8" t="str">
        <f>"TADALAFIL/SANDOZ F.C.TABL. 4x20MG"</f>
        <v>TADALAFIL/SANDOZ F.C.TABL. 4x20MG</v>
      </c>
      <c r="F252" s="9">
        <v>18.52</v>
      </c>
      <c r="G252" s="8"/>
      <c r="H252" s="10">
        <v>7.0000000000000007E-2</v>
      </c>
      <c r="I252" s="8"/>
    </row>
    <row r="253" spans="1:9" x14ac:dyDescent="0.25">
      <c r="A253" s="1">
        <v>2802499802039</v>
      </c>
      <c r="B253" t="str">
        <f>"ANFARM ΕΛΛΑΣ ΑΕ"</f>
        <v>ANFARM ΕΛΛΑΣ ΑΕ</v>
      </c>
      <c r="C253" t="str">
        <f>"051742"</f>
        <v>051742</v>
      </c>
      <c r="D253" s="8" t="str">
        <f>"2802499802039"</f>
        <v>2802499802039</v>
      </c>
      <c r="E253" s="8" t="str">
        <f>"TALGAN CREAM 100GR"</f>
        <v>TALGAN CREAM 100GR</v>
      </c>
      <c r="F253" s="9">
        <v>4.25</v>
      </c>
      <c r="G253" s="8"/>
      <c r="H253" s="10">
        <v>0.05</v>
      </c>
      <c r="I253" s="8"/>
    </row>
    <row r="254" spans="1:9" x14ac:dyDescent="0.25">
      <c r="A254" s="1">
        <v>2802499801018</v>
      </c>
      <c r="B254" t="str">
        <f>"ANFARM ΕΛΛΑΣ ΑΕ"</f>
        <v>ANFARM ΕΛΛΑΣ ΑΕ</v>
      </c>
      <c r="C254" t="str">
        <f>"249980101"</f>
        <v>249980101</v>
      </c>
      <c r="D254" s="8" t="str">
        <f>"2802499801018"</f>
        <v>2802499801018</v>
      </c>
      <c r="E254" s="8" t="str">
        <f>"TALGAN NASAL SPRAY 100MCG/DOSE 10ML 200DOSES"</f>
        <v>TALGAN NASAL SPRAY 100MCG/DOSE 10ML 200DOSES</v>
      </c>
      <c r="F254" s="9">
        <v>7.1</v>
      </c>
      <c r="G254" s="8"/>
      <c r="H254" s="10">
        <v>0.05</v>
      </c>
      <c r="I254" s="8"/>
    </row>
    <row r="255" spans="1:9" x14ac:dyDescent="0.25">
      <c r="A255" s="1">
        <v>2803262901010</v>
      </c>
      <c r="B255" t="str">
        <f>"LAVIPHARM ACTIVE SERVICES MON. A.E.E."</f>
        <v>LAVIPHARM ACTIVE SERVICES MON. A.E.E.</v>
      </c>
      <c r="C255" t="str">
        <f>"326290101"</f>
        <v>326290101</v>
      </c>
      <c r="D255" s="8" t="str">
        <f>"2803262901010"</f>
        <v>2803262901010</v>
      </c>
      <c r="E255" s="8" t="str">
        <f>"TALYS F.C.TABL. 28x5MG"</f>
        <v>TALYS F.C.TABL. 28x5MG</v>
      </c>
      <c r="F255" s="9">
        <v>39.56</v>
      </c>
      <c r="G255" s="8"/>
      <c r="H255" s="10">
        <v>0.05</v>
      </c>
      <c r="I255" s="8"/>
    </row>
    <row r="256" spans="1:9" x14ac:dyDescent="0.25">
      <c r="A256" s="1">
        <v>2803262902017</v>
      </c>
      <c r="B256" t="str">
        <f>"LAVIPHARM ACTIVE SERVICES MON. A.E.E."</f>
        <v>LAVIPHARM ACTIVE SERVICES MON. A.E.E.</v>
      </c>
      <c r="C256" t="str">
        <f>"326290201"</f>
        <v>326290201</v>
      </c>
      <c r="D256" s="8" t="str">
        <f>"2803262902017"</f>
        <v>2803262902017</v>
      </c>
      <c r="E256" s="8" t="str">
        <f>"TALYS F.C.TABL. 4x10MG"</f>
        <v>TALYS F.C.TABL. 4x10MG</v>
      </c>
      <c r="F256" s="9">
        <v>17.920000000000002</v>
      </c>
      <c r="G256" s="8"/>
      <c r="H256" s="10">
        <v>0.05</v>
      </c>
      <c r="I256" s="8"/>
    </row>
    <row r="257" spans="1:9" x14ac:dyDescent="0.25">
      <c r="A257" s="1">
        <v>2803262903014</v>
      </c>
      <c r="B257" t="str">
        <f>"LAVIPHARM ACTIVE SERVICES MON. A.E.E."</f>
        <v>LAVIPHARM ACTIVE SERVICES MON. A.E.E.</v>
      </c>
      <c r="C257" t="str">
        <f>"326290301"</f>
        <v>326290301</v>
      </c>
      <c r="D257" s="8" t="str">
        <f>"2803262903014"</f>
        <v>2803262903014</v>
      </c>
      <c r="E257" s="8" t="str">
        <f>"TALYS F.C.TABL. 4x20MG"</f>
        <v>TALYS F.C.TABL. 4x20MG</v>
      </c>
      <c r="F257" s="9">
        <v>18.53</v>
      </c>
      <c r="G257" s="8"/>
      <c r="H257" s="10">
        <v>0.05</v>
      </c>
      <c r="I257" s="8"/>
    </row>
    <row r="258" spans="1:9" x14ac:dyDescent="0.25">
      <c r="A258" s="1">
        <v>2802726201017</v>
      </c>
      <c r="B258" t="str">
        <f>"INNOVIS PHARMA AEBE"</f>
        <v>INNOVIS PHARMA AEBE</v>
      </c>
      <c r="C258" t="str">
        <f>"272620101"</f>
        <v>272620101</v>
      </c>
      <c r="D258" s="8" t="str">
        <f>"2802726201017"</f>
        <v>2802726201017</v>
      </c>
      <c r="E258" s="8" t="str">
        <f>"TAMSOL CR CAPS 20x0,4MG"</f>
        <v>TAMSOL CR CAPS 20x0,4MG</v>
      </c>
      <c r="F258" s="9">
        <v>2.9</v>
      </c>
      <c r="G258" s="8"/>
      <c r="H258" s="10">
        <v>0.05</v>
      </c>
      <c r="I258" s="8"/>
    </row>
    <row r="259" spans="1:9" x14ac:dyDescent="0.25">
      <c r="A259" s="1">
        <v>2802726201024</v>
      </c>
      <c r="B259" t="str">
        <f>"INNOVIS PHARMA AEBE"</f>
        <v>INNOVIS PHARMA AEBE</v>
      </c>
      <c r="C259" t="str">
        <f>"2726201024"</f>
        <v>2726201024</v>
      </c>
      <c r="D259" s="8" t="str">
        <f>"2802726201024"</f>
        <v>2802726201024</v>
      </c>
      <c r="E259" s="8" t="str">
        <f>"TAMSOL CR CAPS 30x0,4MG"</f>
        <v>TAMSOL CR CAPS 30x0,4MG</v>
      </c>
      <c r="F259" s="9">
        <v>3.54</v>
      </c>
      <c r="G259" s="8"/>
      <c r="H259" s="10">
        <v>0.05</v>
      </c>
      <c r="I259" s="8"/>
    </row>
    <row r="260" spans="1:9" x14ac:dyDescent="0.25">
      <c r="A260" s="1">
        <v>2803030901037</v>
      </c>
      <c r="B260" t="str">
        <f>"INNOVIS PHARMA AEBE"</f>
        <v>INNOVIS PHARMA AEBE</v>
      </c>
      <c r="C260" t="str">
        <f>"20759"</f>
        <v>20759</v>
      </c>
      <c r="D260" s="8" t="str">
        <f>"2803030901037"</f>
        <v>2803030901037</v>
      </c>
      <c r="E260" s="8" t="str">
        <f>"TAMVELIER F.C.TABL. 7x400MG"</f>
        <v>TAMVELIER F.C.TABL. 7x400MG</v>
      </c>
      <c r="F260" s="9">
        <v>6.86</v>
      </c>
      <c r="G260" s="8"/>
      <c r="H260" s="10">
        <v>0.05</v>
      </c>
      <c r="I260" s="8"/>
    </row>
    <row r="261" spans="1:9" x14ac:dyDescent="0.25">
      <c r="A261" s="1">
        <v>2802716401021</v>
      </c>
      <c r="B261" t="str">
        <f>"ANFARM ΕΛΛΑΣ ΑΕ"</f>
        <v>ANFARM ΕΛΛΑΣ ΑΕ</v>
      </c>
      <c r="C261" t="str">
        <f>"271640102"</f>
        <v>271640102</v>
      </c>
      <c r="D261" s="8" t="str">
        <f>"2802716401021"</f>
        <v>2802716401021</v>
      </c>
      <c r="E261" s="8" t="str">
        <f>"TERANFIS CREAM 1% 30GR"</f>
        <v>TERANFIS CREAM 1% 30GR</v>
      </c>
      <c r="F261" s="9">
        <v>3.78</v>
      </c>
      <c r="G261" s="8"/>
      <c r="H261" s="10">
        <v>0.05</v>
      </c>
      <c r="I261" s="8"/>
    </row>
    <row r="262" spans="1:9" x14ac:dyDescent="0.25">
      <c r="A262" s="1">
        <v>2801910501018</v>
      </c>
      <c r="B262" t="str">
        <f>"ΚΟΠΕΡ ΑΕ"</f>
        <v>ΚΟΠΕΡ ΑΕ</v>
      </c>
      <c r="C262" t="str">
        <f>"03599"</f>
        <v>03599</v>
      </c>
      <c r="D262" s="8" t="str">
        <f>"2801910501018"</f>
        <v>2801910501018</v>
      </c>
      <c r="E262" s="8" t="str">
        <f>"TETRACAINE HYDRO COLL. 0,5% 10ML"</f>
        <v>TETRACAINE HYDRO COLL. 0,5% 10ML</v>
      </c>
      <c r="F262" s="9">
        <v>2.13</v>
      </c>
      <c r="G262" s="8"/>
      <c r="H262" s="10">
        <v>0.05</v>
      </c>
      <c r="I262" s="8"/>
    </row>
    <row r="263" spans="1:9" x14ac:dyDescent="0.25">
      <c r="A263" s="1">
        <v>2803157901064</v>
      </c>
      <c r="B263" t="str">
        <f>"LAVIPHARM ACTIVE SERVICES MON. A.E.E."</f>
        <v>LAVIPHARM ACTIVE SERVICES MON. A.E.E.</v>
      </c>
      <c r="C263" t="str">
        <f>"315790106"</f>
        <v>315790106</v>
      </c>
      <c r="D263" s="8" t="str">
        <f>"2803157901064"</f>
        <v>2803157901064</v>
      </c>
      <c r="E263" s="8" t="str">
        <f>"TORVACARD NEO F.C.TABL.30x10MG"</f>
        <v>TORVACARD NEO F.C.TABL.30x10MG</v>
      </c>
      <c r="F263" s="9">
        <v>5.7</v>
      </c>
      <c r="G263" s="8"/>
      <c r="H263" s="10">
        <v>0.03</v>
      </c>
      <c r="I263" s="8"/>
    </row>
    <row r="264" spans="1:9" x14ac:dyDescent="0.25">
      <c r="A264" s="1">
        <v>2803157902061</v>
      </c>
      <c r="B264" t="str">
        <f>"LAVIPHARM ACTIVE SERVICES MON. A.E.E."</f>
        <v>LAVIPHARM ACTIVE SERVICES MON. A.E.E.</v>
      </c>
      <c r="C264" t="str">
        <f>"315790206"</f>
        <v>315790206</v>
      </c>
      <c r="D264" s="8" t="str">
        <f>"2803157902061"</f>
        <v>2803157902061</v>
      </c>
      <c r="E264" s="8" t="str">
        <f>"TORVACARD NEO F.C.TABL.30x20MG"</f>
        <v>TORVACARD NEO F.C.TABL.30x20MG</v>
      </c>
      <c r="F264" s="9">
        <v>6.23</v>
      </c>
      <c r="G264" s="8"/>
      <c r="H264" s="10">
        <v>0.03</v>
      </c>
      <c r="I264" s="8"/>
    </row>
    <row r="265" spans="1:9" x14ac:dyDescent="0.25">
      <c r="A265" s="1">
        <v>2803157903051</v>
      </c>
      <c r="B265" t="str">
        <f>"LAVIPHARM ACTIVE SERVICES MON. A.E.E."</f>
        <v>LAVIPHARM ACTIVE SERVICES MON. A.E.E.</v>
      </c>
      <c r="C265" t="str">
        <f>"315790305"</f>
        <v>315790305</v>
      </c>
      <c r="D265" s="8" t="str">
        <f>"2803157903051"</f>
        <v>2803157903051</v>
      </c>
      <c r="E265" s="8" t="str">
        <f>"TORVACARD NEO F.C.TABL.30x40MG"</f>
        <v>TORVACARD NEO F.C.TABL.30x40MG</v>
      </c>
      <c r="F265" s="9">
        <v>6.23</v>
      </c>
      <c r="G265" s="8"/>
      <c r="H265" s="10">
        <v>0.03</v>
      </c>
      <c r="I265" s="8"/>
    </row>
    <row r="266" spans="1:9" x14ac:dyDescent="0.25">
      <c r="A266" s="1">
        <v>2802019602019</v>
      </c>
      <c r="B266" t="str">
        <f>"DEMO  ABEE"</f>
        <v>DEMO  ABEE</v>
      </c>
      <c r="C266" t="str">
        <f>"0133"</f>
        <v>0133</v>
      </c>
      <c r="D266" s="8" t="str">
        <f>"2802019602019"</f>
        <v>2802019602019</v>
      </c>
      <c r="E266" s="8" t="str">
        <f>"UFEXIL F.C.TABL. 10x500MG"</f>
        <v>UFEXIL F.C.TABL. 10x500MG</v>
      </c>
      <c r="F266" s="9">
        <v>3.24</v>
      </c>
      <c r="G266" s="8"/>
      <c r="H266" s="10">
        <v>0.05</v>
      </c>
      <c r="I266" s="8"/>
    </row>
    <row r="267" spans="1:9" x14ac:dyDescent="0.25">
      <c r="A267" s="1">
        <v>2802743401025</v>
      </c>
      <c r="B267" t="str">
        <f>"ANFARM ΕΛΛΑΣ ΑΕ"</f>
        <v>ANFARM ΕΛΛΑΣ ΑΕ</v>
      </c>
      <c r="C267" t="str">
        <f>"274340102"</f>
        <v>274340102</v>
      </c>
      <c r="D267" s="8" t="str">
        <f>"2802743401025"</f>
        <v>2802743401025</v>
      </c>
      <c r="E267" s="8" t="str">
        <f>"ULCERON PD.INJ.SOL 40MGX5 VIAL"</f>
        <v>ULCERON PD.INJ.SOL 40MGX5 VIAL</v>
      </c>
      <c r="F267" s="9">
        <v>9.1</v>
      </c>
      <c r="G267" s="8"/>
      <c r="H267" s="10">
        <v>0.05</v>
      </c>
      <c r="I267" s="8"/>
    </row>
    <row r="268" spans="1:9" x14ac:dyDescent="0.25">
      <c r="A268" s="1">
        <v>2800697702014</v>
      </c>
      <c r="B268" t="str">
        <f>"ΠΕΤΣΙΑΒΑΣ Α.Ε."</f>
        <v>ΠΕΤΣΙΑΒΑΣ Α.Ε.</v>
      </c>
      <c r="C268" t="str">
        <f>"069770201"</f>
        <v>069770201</v>
      </c>
      <c r="D268" s="8" t="str">
        <f>"2800697702014"</f>
        <v>2800697702014</v>
      </c>
      <c r="E268" s="8" t="str">
        <f>"ULTRALEVURE CAPS 10x250MG"</f>
        <v>ULTRALEVURE CAPS 10x250MG</v>
      </c>
      <c r="F268" s="9">
        <v>2.23</v>
      </c>
      <c r="G268" s="8"/>
      <c r="H268" s="10">
        <v>0.05</v>
      </c>
      <c r="I268" s="8"/>
    </row>
    <row r="269" spans="1:9" x14ac:dyDescent="0.25">
      <c r="A269" s="1">
        <v>2800697701017</v>
      </c>
      <c r="B269" t="str">
        <f>"ΠΕΤΣΙΑΒΑΣ Α.Ε."</f>
        <v>ΠΕΤΣΙΑΒΑΣ Α.Ε.</v>
      </c>
      <c r="C269" t="str">
        <f>"03822"</f>
        <v>03822</v>
      </c>
      <c r="D269" s="8" t="str">
        <f>"2800697701017"</f>
        <v>2800697701017</v>
      </c>
      <c r="E269" s="8" t="str">
        <f>"ULTRALEVURE CAPS 20x50MG"</f>
        <v>ULTRALEVURE CAPS 20x50MG</v>
      </c>
      <c r="F269" s="9">
        <v>1.73</v>
      </c>
      <c r="G269" s="8"/>
      <c r="H269" s="10">
        <v>0.05</v>
      </c>
      <c r="I269" s="8"/>
    </row>
    <row r="270" spans="1:9" x14ac:dyDescent="0.25">
      <c r="A270" s="1">
        <v>2800697703011</v>
      </c>
      <c r="B270" t="str">
        <f>"ΠΕΤΣΙΑΒΑΣ Α.Ε."</f>
        <v>ΠΕΤΣΙΑΒΑΣ Α.Ε.</v>
      </c>
      <c r="C270" t="str">
        <f>"069770301"</f>
        <v>069770301</v>
      </c>
      <c r="D270" s="8" t="str">
        <f>"2800697703011"</f>
        <v>2800697703011</v>
      </c>
      <c r="E270" s="8" t="str">
        <f>"ULTRALEVURE SACH. 10x250MG"</f>
        <v>ULTRALEVURE SACH. 10x250MG</v>
      </c>
      <c r="F270" s="9">
        <v>2.27</v>
      </c>
      <c r="G270" s="8"/>
      <c r="H270" s="10">
        <v>0.05</v>
      </c>
      <c r="I270" s="8"/>
    </row>
    <row r="271" spans="1:9" x14ac:dyDescent="0.25">
      <c r="A271" s="1">
        <v>2802804602026</v>
      </c>
      <c r="B271" t="str">
        <f>"QUALIA PHARMA A.E"</f>
        <v>QUALIA PHARMA A.E</v>
      </c>
      <c r="C271" t="str">
        <f>"280460202"</f>
        <v>280460202</v>
      </c>
      <c r="D271" s="8" t="str">
        <f>"2802804602026"</f>
        <v>2802804602026</v>
      </c>
      <c r="E271" s="8" t="str">
        <f>"VELEPT XR CAPS 28x150MG"</f>
        <v>VELEPT XR CAPS 28x150MG</v>
      </c>
      <c r="F271" s="9">
        <v>5.54</v>
      </c>
      <c r="G271" s="8"/>
      <c r="H271" s="10">
        <v>0.05</v>
      </c>
      <c r="I271" s="8"/>
    </row>
    <row r="272" spans="1:9" x14ac:dyDescent="0.25">
      <c r="A272" s="1">
        <v>2802804601029</v>
      </c>
      <c r="B272" t="str">
        <f>"QUALIA PHARMA A.E"</f>
        <v>QUALIA PHARMA A.E</v>
      </c>
      <c r="C272" t="str">
        <f>"280460102"</f>
        <v>280460102</v>
      </c>
      <c r="D272" s="8" t="str">
        <f>"2802804601029"</f>
        <v>2802804601029</v>
      </c>
      <c r="E272" s="8" t="str">
        <f>"VELEPT XR CAPS 28x75MG"</f>
        <v>VELEPT XR CAPS 28x75MG</v>
      </c>
      <c r="F272" s="9">
        <v>3.05</v>
      </c>
      <c r="G272" s="8"/>
      <c r="H272" s="10">
        <v>0.05</v>
      </c>
      <c r="I272" s="8"/>
    </row>
    <row r="273" spans="1:9" x14ac:dyDescent="0.25">
      <c r="A273" s="1">
        <v>2802070601037</v>
      </c>
      <c r="B273" t="str">
        <f>"DEMO  ABEE"</f>
        <v>DEMO  ABEE</v>
      </c>
      <c r="C273" t="str">
        <f>"207060103"</f>
        <v>207060103</v>
      </c>
      <c r="D273" s="8" t="str">
        <f>"2802070601037"</f>
        <v>2802070601037</v>
      </c>
      <c r="E273" s="8" t="str">
        <f>"VERALOX GR.CAPS 28x20MG"</f>
        <v>VERALOX GR.CAPS 28x20MG</v>
      </c>
      <c r="F273" s="9">
        <v>5.97</v>
      </c>
      <c r="G273" s="8"/>
      <c r="H273" s="10">
        <v>0.05</v>
      </c>
      <c r="I273" s="8"/>
    </row>
    <row r="274" spans="1:9" x14ac:dyDescent="0.25">
      <c r="A274" s="1">
        <v>2802040303022</v>
      </c>
      <c r="B274" t="str">
        <f>"ANFARM ΕΛΛΑΣ ΑΕ"</f>
        <v>ANFARM ΕΛΛΑΣ ΑΕ</v>
      </c>
      <c r="C274" t="str">
        <f>"204030302"</f>
        <v>204030302</v>
      </c>
      <c r="D274" s="8" t="str">
        <f>"2802040303022"</f>
        <v>2802040303022</v>
      </c>
      <c r="E274" s="8" t="str">
        <f>"VEROXIL TABL. 28x20MG"</f>
        <v>VEROXIL TABL. 28x20MG</v>
      </c>
      <c r="F274" s="9">
        <v>3.51</v>
      </c>
      <c r="G274" s="8"/>
      <c r="H274" s="10">
        <v>0.05</v>
      </c>
      <c r="I274" s="8"/>
    </row>
    <row r="275" spans="1:9" x14ac:dyDescent="0.25">
      <c r="A275" s="1">
        <v>2802040304029</v>
      </c>
      <c r="B275" t="str">
        <f>"ANFARM ΕΛΛΑΣ ΑΕ"</f>
        <v>ANFARM ΕΛΛΑΣ ΑΕ</v>
      </c>
      <c r="C275" t="str">
        <f>"204030402"</f>
        <v>204030402</v>
      </c>
      <c r="D275" s="8" t="str">
        <f>"2802040304029"</f>
        <v>2802040304029</v>
      </c>
      <c r="E275" s="8" t="str">
        <f>"VEROXIL TABL. 30x40MG"</f>
        <v>VEROXIL TABL. 30x40MG</v>
      </c>
      <c r="F275" s="9">
        <v>6.86</v>
      </c>
      <c r="G275" s="8"/>
      <c r="H275" s="10">
        <v>0.05</v>
      </c>
      <c r="I275" s="8"/>
    </row>
    <row r="276" spans="1:9" x14ac:dyDescent="0.25">
      <c r="A276" s="1">
        <v>2802304601031</v>
      </c>
      <c r="B276" t="str">
        <f>"GENEPHARM A.E."</f>
        <v>GENEPHARM A.E.</v>
      </c>
      <c r="C276" t="str">
        <f>"230460103"</f>
        <v>230460103</v>
      </c>
      <c r="D276" s="8" t="str">
        <f>"2802304601031"</f>
        <v>2802304601031</v>
      </c>
      <c r="E276" s="8" t="str">
        <f>"VINECORT CREAM 100 GR 0,025%"</f>
        <v>VINECORT CREAM 100 GR 0,025%</v>
      </c>
      <c r="F276" s="9">
        <v>4.25</v>
      </c>
      <c r="G276" s="8"/>
      <c r="H276" s="10">
        <v>0.05</v>
      </c>
      <c r="I276" s="8"/>
    </row>
    <row r="277" spans="1:9" x14ac:dyDescent="0.25">
      <c r="A277" s="1">
        <v>2802304603011</v>
      </c>
      <c r="B277" t="str">
        <f>"GENEPHARM A.E."</f>
        <v>GENEPHARM A.E.</v>
      </c>
      <c r="C277" t="str">
        <f>"230460301"</f>
        <v>230460301</v>
      </c>
      <c r="D277" s="8" t="str">
        <f>"2802304603011"</f>
        <v>2802304603011</v>
      </c>
      <c r="E277" s="8" t="str">
        <f>"VINECORT NASAL SPRAY 200 DOS 100MG"</f>
        <v>VINECORT NASAL SPRAY 200 DOS 100MG</v>
      </c>
      <c r="F277" s="9">
        <v>7.1</v>
      </c>
      <c r="G277" s="8"/>
      <c r="H277" s="10">
        <v>0.05</v>
      </c>
      <c r="I277" s="8"/>
    </row>
    <row r="278" spans="1:9" x14ac:dyDescent="0.25">
      <c r="A278" s="1">
        <v>2802906902062</v>
      </c>
      <c r="B278" t="str">
        <f>"DEMO  ABEE"</f>
        <v>DEMO  ABEE</v>
      </c>
      <c r="C278" t="str">
        <f>"20942"</f>
        <v>20942</v>
      </c>
      <c r="D278" s="8" t="str">
        <f>"2802906902062"</f>
        <v>2802906902062</v>
      </c>
      <c r="E278" s="8" t="str">
        <f>"VOLIRAN TABS 150MG"</f>
        <v>VOLIRAN TABS 150MG</v>
      </c>
      <c r="F278" s="9">
        <v>5.68</v>
      </c>
      <c r="G278" s="8"/>
      <c r="H278" s="10">
        <v>0.05</v>
      </c>
      <c r="I278" s="8"/>
    </row>
    <row r="279" spans="1:9" x14ac:dyDescent="0.25">
      <c r="A279" s="1">
        <v>2802624201058</v>
      </c>
      <c r="B279" t="str">
        <f>"GENEPHARM A.E."</f>
        <v>GENEPHARM A.E.</v>
      </c>
      <c r="C279" t="str">
        <f>"262420105"</f>
        <v>262420105</v>
      </c>
      <c r="D279" s="8" t="str">
        <f>"2802624201058"</f>
        <v>2802624201058</v>
      </c>
      <c r="E279" s="8" t="str">
        <f>"XANATOR/SIEGER F.C.TABL. 14x20MG (2x7)"</f>
        <v>XANATOR/SIEGER F.C.TABL. 14x20MG (2x7)</v>
      </c>
      <c r="F279" s="9">
        <v>3.3</v>
      </c>
      <c r="G279" s="8"/>
      <c r="H279" s="10">
        <v>0.05</v>
      </c>
      <c r="I279" s="8"/>
    </row>
    <row r="280" spans="1:9" x14ac:dyDescent="0.25">
      <c r="A280" s="1">
        <v>2802624202055</v>
      </c>
      <c r="B280" t="str">
        <f>"GENEPHARM A.E."</f>
        <v>GENEPHARM A.E.</v>
      </c>
      <c r="C280" t="str">
        <f>"262420205"</f>
        <v>262420205</v>
      </c>
      <c r="D280" s="8" t="str">
        <f>"2802624202055"</f>
        <v>2802624202055</v>
      </c>
      <c r="E280" s="8" t="str">
        <f>"XANATOR/SIEGER F.C.TABL. 14x40MG (2x7)"</f>
        <v>XANATOR/SIEGER F.C.TABL. 14x40MG (2x7)</v>
      </c>
      <c r="F280" s="9">
        <v>3.3</v>
      </c>
      <c r="G280" s="8"/>
      <c r="H280" s="10">
        <v>0.05</v>
      </c>
      <c r="I280" s="8"/>
    </row>
    <row r="281" spans="1:9" x14ac:dyDescent="0.25">
      <c r="A281" s="1">
        <v>2802623901027</v>
      </c>
      <c r="B281" t="str">
        <f>"LIBYTEC ΦΑΡΜΑΚΕΥΤΙΚΗ A.E."</f>
        <v>LIBYTEC ΦΑΡΜΑΚΕΥΤΙΚΗ A.E.</v>
      </c>
      <c r="C281" t="str">
        <f>"262390102"</f>
        <v>262390102</v>
      </c>
      <c r="D281" s="8" t="str">
        <f>"2802623901027"</f>
        <v>2802623901027</v>
      </c>
      <c r="E281" s="8" t="str">
        <f>"YARDEL INJ SOL 20MG/2ML"</f>
        <v>YARDEL INJ SOL 20MG/2ML</v>
      </c>
      <c r="F281" s="9">
        <v>11.11</v>
      </c>
      <c r="G281" s="8"/>
      <c r="H281" s="10">
        <v>0.05</v>
      </c>
      <c r="I281" s="8"/>
    </row>
    <row r="282" spans="1:9" x14ac:dyDescent="0.25">
      <c r="A282" s="1">
        <v>2802894704037</v>
      </c>
      <c r="B282" t="str">
        <f>"QUALIA PHARMA A.E"</f>
        <v>QUALIA PHARMA A.E</v>
      </c>
      <c r="C282" t="str">
        <f>"289470403"</f>
        <v>289470403</v>
      </c>
      <c r="D282" s="8" t="str">
        <f>"2802894704037"</f>
        <v>2802894704037</v>
      </c>
      <c r="E282" s="8" t="str">
        <f>"ZALASTA TABL. 28x10MG"</f>
        <v>ZALASTA TABL. 28x10MG</v>
      </c>
      <c r="F282" s="9">
        <v>20.86</v>
      </c>
      <c r="G282" s="8"/>
      <c r="H282" s="10">
        <v>0.05</v>
      </c>
      <c r="I282" s="8"/>
    </row>
    <row r="283" spans="1:9" x14ac:dyDescent="0.25">
      <c r="A283" s="1">
        <v>2802894706024</v>
      </c>
      <c r="B283" t="str">
        <f>"QUALIA PHARMA A.E"</f>
        <v>QUALIA PHARMA A.E</v>
      </c>
      <c r="C283" t="str">
        <f>"289470602"</f>
        <v>289470602</v>
      </c>
      <c r="D283" s="8" t="str">
        <f>"2802894706024"</f>
        <v>2802894706024</v>
      </c>
      <c r="E283" s="8" t="str">
        <f>"ZALASTA TABL. 28x20MG"</f>
        <v>ZALASTA TABL. 28x20MG</v>
      </c>
      <c r="F283" s="9">
        <v>55.22</v>
      </c>
      <c r="G283" s="8"/>
      <c r="H283" s="10">
        <v>0.05</v>
      </c>
      <c r="I283" s="8"/>
    </row>
    <row r="284" spans="1:9" x14ac:dyDescent="0.25">
      <c r="A284" s="1">
        <v>2802894702026</v>
      </c>
      <c r="B284" t="str">
        <f>"QUALIA PHARMA A.E"</f>
        <v>QUALIA PHARMA A.E</v>
      </c>
      <c r="C284" t="str">
        <f>"289470202"</f>
        <v>289470202</v>
      </c>
      <c r="D284" s="8" t="str">
        <f>"2802894702026"</f>
        <v>2802894702026</v>
      </c>
      <c r="E284" s="8" t="str">
        <f>"ZALASTA TABL. 28x5MG"</f>
        <v>ZALASTA TABL. 28x5MG</v>
      </c>
      <c r="F284" s="9">
        <v>11.04</v>
      </c>
      <c r="G284" s="8"/>
      <c r="H284" s="10">
        <v>0.05</v>
      </c>
      <c r="I284" s="8"/>
    </row>
    <row r="285" spans="1:9" x14ac:dyDescent="0.25">
      <c r="A285" s="1">
        <v>2802699801016</v>
      </c>
      <c r="B285" t="str">
        <f>"DEMO  ABEE"</f>
        <v>DEMO  ABEE</v>
      </c>
      <c r="C285" t="str">
        <f>"269980101"</f>
        <v>269980101</v>
      </c>
      <c r="D285" s="8" t="str">
        <f>"2802699801016"</f>
        <v>2802699801016</v>
      </c>
      <c r="E285" s="8" t="str">
        <f>"ZARMOL F.C.TABL. 28x50MG"</f>
        <v>ZARMOL F.C.TABL. 28x50MG</v>
      </c>
      <c r="F285" s="9">
        <v>19.649999999999999</v>
      </c>
      <c r="G285" s="8"/>
      <c r="H285" s="10">
        <v>0.05</v>
      </c>
      <c r="I285" s="8"/>
    </row>
    <row r="286" spans="1:9" s="12" customFormat="1" x14ac:dyDescent="0.25">
      <c r="A286" s="11">
        <v>2803066801059</v>
      </c>
      <c r="B286" s="12" t="str">
        <f>"PROMOPHARMA A.E."</f>
        <v>PROMOPHARMA A.E.</v>
      </c>
      <c r="C286" s="12" t="str">
        <f>"306680105"</f>
        <v>306680105</v>
      </c>
      <c r="D286" s="13" t="str">
        <f>"2803066801059"</f>
        <v>2803066801059</v>
      </c>
      <c r="E286" s="13" t="str">
        <f>"ZENAVIL F.C.TABL.28x5MG (TADALAFIL)"</f>
        <v>ZENAVIL F.C.TABL.28x5MG (TADALAFIL)</v>
      </c>
      <c r="F286" s="14">
        <v>39.56</v>
      </c>
      <c r="G286" s="13"/>
      <c r="H286" s="15">
        <v>0.1</v>
      </c>
      <c r="I286" s="38" t="s">
        <v>13</v>
      </c>
    </row>
    <row r="287" spans="1:9" s="12" customFormat="1" x14ac:dyDescent="0.25">
      <c r="A287" s="11">
        <v>2803066802025</v>
      </c>
      <c r="B287" s="12" t="str">
        <f>"PROMOPHARMA A.E."</f>
        <v>PROMOPHARMA A.E.</v>
      </c>
      <c r="C287" s="12" t="str">
        <f>"306680202"</f>
        <v>306680202</v>
      </c>
      <c r="D287" s="13" t="str">
        <f>"2803066802025"</f>
        <v>2803066802025</v>
      </c>
      <c r="E287" s="13" t="str">
        <f>"ZENAVIL F.C.TABL.4x10MG (TADALAFIL)"</f>
        <v>ZENAVIL F.C.TABL.4x10MG (TADALAFIL)</v>
      </c>
      <c r="F287" s="14">
        <v>17.920000000000002</v>
      </c>
      <c r="G287" s="13"/>
      <c r="H287" s="15">
        <v>0.1</v>
      </c>
      <c r="I287" s="38"/>
    </row>
    <row r="288" spans="1:9" s="12" customFormat="1" x14ac:dyDescent="0.25">
      <c r="A288" s="11">
        <v>2803066803022</v>
      </c>
      <c r="B288" s="12" t="str">
        <f>"PROMOPHARMA A.E."</f>
        <v>PROMOPHARMA A.E.</v>
      </c>
      <c r="C288" s="12" t="str">
        <f>"306680302"</f>
        <v>306680302</v>
      </c>
      <c r="D288" s="13" t="str">
        <f>"2803066803022"</f>
        <v>2803066803022</v>
      </c>
      <c r="E288" s="13" t="str">
        <f>"ZENAVIL F.C.TABL.4x20MG (TADALAFIL)"</f>
        <v>ZENAVIL F.C.TABL.4x20MG (TADALAFIL)</v>
      </c>
      <c r="F288" s="14">
        <v>18.52</v>
      </c>
      <c r="G288" s="13"/>
      <c r="H288" s="15">
        <v>0.1</v>
      </c>
      <c r="I288" s="38"/>
    </row>
    <row r="289" spans="1:9" x14ac:dyDescent="0.25">
      <c r="A289" s="1">
        <v>2803176901052</v>
      </c>
      <c r="B289" t="str">
        <f>"DEMO  ABEE"</f>
        <v>DEMO  ABEE</v>
      </c>
      <c r="C289" t="str">
        <f>"317690105"</f>
        <v>317690105</v>
      </c>
      <c r="D289" s="8" t="str">
        <f>"2803176901052"</f>
        <v>2803176901052</v>
      </c>
      <c r="E289" s="8" t="str">
        <f>"ZETIDEM TABL. 30x(10+10)MG"</f>
        <v>ZETIDEM TABL. 30x(10+10)MG</v>
      </c>
      <c r="F289" s="9">
        <v>19.850000000000001</v>
      </c>
      <c r="G289" s="8"/>
      <c r="H289" s="10">
        <v>0.05</v>
      </c>
      <c r="I289" s="8"/>
    </row>
    <row r="290" spans="1:9" x14ac:dyDescent="0.25">
      <c r="A290" s="1">
        <v>2803176902059</v>
      </c>
      <c r="B290" t="str">
        <f>"DEMO  ABEE"</f>
        <v>DEMO  ABEE</v>
      </c>
      <c r="C290" t="str">
        <f>"317690205"</f>
        <v>317690205</v>
      </c>
      <c r="D290" s="8" t="str">
        <f>"2803176902059"</f>
        <v>2803176902059</v>
      </c>
      <c r="E290" s="8" t="str">
        <f>"ZETIDEM TABL. 30x(10+20)MG"</f>
        <v>ZETIDEM TABL. 30x(10+20)MG</v>
      </c>
      <c r="F290" s="9">
        <v>12.29</v>
      </c>
      <c r="G290" s="8"/>
      <c r="H290" s="10">
        <v>0.05</v>
      </c>
      <c r="I290" s="8"/>
    </row>
    <row r="291" spans="1:9" x14ac:dyDescent="0.25">
      <c r="A291" s="1">
        <v>2803176903056</v>
      </c>
      <c r="B291" t="str">
        <f>"DEMO  ABEE"</f>
        <v>DEMO  ABEE</v>
      </c>
      <c r="C291" t="str">
        <f>"317690305"</f>
        <v>317690305</v>
      </c>
      <c r="D291" s="8" t="str">
        <f>"2803176903056"</f>
        <v>2803176903056</v>
      </c>
      <c r="E291" s="8" t="str">
        <f>"ZETIDEM TABL. 30x(10+40)MG"</f>
        <v>ZETIDEM TABL. 30x(10+40)MG</v>
      </c>
      <c r="F291" s="9">
        <v>12.98</v>
      </c>
      <c r="G291" s="8"/>
      <c r="H291" s="10">
        <v>0.05</v>
      </c>
      <c r="I291" s="8"/>
    </row>
    <row r="292" spans="1:9" x14ac:dyDescent="0.25">
      <c r="A292" s="1">
        <v>2802387401023</v>
      </c>
      <c r="B292" t="str">
        <f>"ANFARM ΕΛΛΑΣ ΑΕ"</f>
        <v>ANFARM ΕΛΛΑΣ ΑΕ</v>
      </c>
      <c r="C292" t="str">
        <f>"5459"</f>
        <v>5459</v>
      </c>
      <c r="D292" s="8" t="str">
        <f>"2802387401023"</f>
        <v>2802387401023</v>
      </c>
      <c r="E292" s="8" t="str">
        <f>"ZIDOVIMM CREAM 5%"</f>
        <v>ZIDOVIMM CREAM 5%</v>
      </c>
      <c r="F292" s="9">
        <v>3.03</v>
      </c>
      <c r="G292" s="8"/>
      <c r="H292" s="10">
        <v>0.05</v>
      </c>
      <c r="I292" s="8"/>
    </row>
    <row r="293" spans="1:9" x14ac:dyDescent="0.25">
      <c r="A293" s="1">
        <v>2802965103028</v>
      </c>
      <c r="B293" t="str">
        <f>"LAVIPHARM ACTIVE SERVICES MON. A.E.E."</f>
        <v>LAVIPHARM ACTIVE SERVICES MON. A.E.E.</v>
      </c>
      <c r="C293" t="str">
        <f>"296510302"</f>
        <v>296510302</v>
      </c>
      <c r="D293" s="8" t="str">
        <f>"2802965103028"</f>
        <v>2802965103028</v>
      </c>
      <c r="E293" s="8" t="str">
        <f>"ZIPION TABL. 28x45MG"</f>
        <v>ZIPION TABL. 28x45MG</v>
      </c>
      <c r="F293" s="9">
        <v>9.17</v>
      </c>
      <c r="G293" s="8"/>
      <c r="H293" s="10">
        <v>0.03</v>
      </c>
      <c r="I293" s="8"/>
    </row>
    <row r="294" spans="1:9" x14ac:dyDescent="0.25">
      <c r="A294" s="1">
        <v>2802593703010</v>
      </c>
      <c r="B294" t="str">
        <f>"ANFARM ΕΛΛΑΣ ΑΕ"</f>
        <v>ANFARM ΕΛΛΑΣ ΑΕ</v>
      </c>
      <c r="C294" t="str">
        <f>"259370301"</f>
        <v>259370301</v>
      </c>
      <c r="D294" s="8" t="str">
        <f>"2802593703010"</f>
        <v>2802593703010</v>
      </c>
      <c r="E294" s="8" t="str">
        <f>"ZITHROTEL F.C.TABL. 3x500MG"</f>
        <v>ZITHROTEL F.C.TABL. 3x500MG</v>
      </c>
      <c r="F294" s="9">
        <v>2.29</v>
      </c>
      <c r="G294" s="8"/>
      <c r="H294" s="10">
        <v>0.05</v>
      </c>
      <c r="I294" s="8"/>
    </row>
    <row r="295" spans="1:9" x14ac:dyDescent="0.25">
      <c r="A295" s="1">
        <v>2802593702013</v>
      </c>
      <c r="B295" t="str">
        <f>"ANFARM ΕΛΛΑΣ ΑΕ"</f>
        <v>ANFARM ΕΛΛΑΣ ΑΕ</v>
      </c>
      <c r="C295" t="str">
        <f>"259370201"</f>
        <v>259370201</v>
      </c>
      <c r="D295" s="8" t="str">
        <f>"2802593702013"</f>
        <v>2802593702013</v>
      </c>
      <c r="E295" s="8" t="str">
        <f>"ZITHROTEL F.C.TABL. 6x250MG"</f>
        <v>ZITHROTEL F.C.TABL. 6x250MG</v>
      </c>
      <c r="F295" s="9">
        <v>2.59</v>
      </c>
      <c r="G295" s="8"/>
      <c r="H295" s="10">
        <v>0.05</v>
      </c>
      <c r="I295" s="8"/>
    </row>
    <row r="296" spans="1:9" x14ac:dyDescent="0.25">
      <c r="A296" s="1">
        <v>2802593704017</v>
      </c>
      <c r="B296" t="str">
        <f>"ANFARM ΕΛΛΑΣ ΑΕ"</f>
        <v>ANFARM ΕΛΛΑΣ ΑΕ</v>
      </c>
      <c r="C296" t="str">
        <f>"259370401"</f>
        <v>259370401</v>
      </c>
      <c r="D296" s="8" t="str">
        <f>"2802593704017"</f>
        <v>2802593704017</v>
      </c>
      <c r="E296" s="8" t="str">
        <f>"ZITHROTEL F.C.TABL. 8x600MG"</f>
        <v>ZITHROTEL F.C.TABL. 8x600MG</v>
      </c>
      <c r="F296" s="9">
        <v>6.18</v>
      </c>
      <c r="G296" s="8"/>
      <c r="H296" s="10">
        <v>0.05</v>
      </c>
      <c r="I296" s="8"/>
    </row>
    <row r="297" spans="1:9" x14ac:dyDescent="0.25">
      <c r="A297" s="1">
        <v>2802657201018</v>
      </c>
      <c r="B297" t="str">
        <f>"HELP A.B.E.E"</f>
        <v>HELP A.B.E.E</v>
      </c>
      <c r="C297" t="str">
        <f>"265720101"</f>
        <v>265720101</v>
      </c>
      <c r="D297" s="8" t="str">
        <f>"2802657201018"</f>
        <v>2802657201018</v>
      </c>
      <c r="E297" s="8" t="str">
        <f>"ZITHROXYN F.C.TABL. 3x500MG"</f>
        <v>ZITHROXYN F.C.TABL. 3x500MG</v>
      </c>
      <c r="F297" s="9">
        <v>2.2999999999999998</v>
      </c>
      <c r="G297" s="8"/>
      <c r="H297" s="10">
        <v>0.03</v>
      </c>
      <c r="I297" s="8"/>
    </row>
    <row r="298" spans="1:9" x14ac:dyDescent="0.25">
      <c r="A298" s="1">
        <v>2802731801028</v>
      </c>
      <c r="B298" t="str">
        <f>"LIBYTEC ΦΑΡΜΑΚΕΥΤΙΚΗ A.E."</f>
        <v>LIBYTEC ΦΑΡΜΑΚΕΥΤΙΚΗ A.E.</v>
      </c>
      <c r="C298" t="str">
        <f>"273180102"</f>
        <v>273180102</v>
      </c>
      <c r="D298" s="8" t="str">
        <f>"2802731801028"</f>
        <v>2802731801028</v>
      </c>
      <c r="E298" s="8" t="str">
        <f>"ZOLANDIL GR CAPS 28x20MG"</f>
        <v>ZOLANDIL GR CAPS 28x20MG</v>
      </c>
      <c r="F298" s="9">
        <v>5.97</v>
      </c>
      <c r="G298" s="8"/>
      <c r="H298" s="10">
        <v>0.05</v>
      </c>
      <c r="I298" s="8"/>
    </row>
    <row r="299" spans="1:9" x14ac:dyDescent="0.25">
      <c r="A299" s="1">
        <v>2802731802025</v>
      </c>
      <c r="B299" t="str">
        <f>"LIBYTEC ΦΑΡΜΑΚΕΥΤΙΚΗ A.E."</f>
        <v>LIBYTEC ΦΑΡΜΑΚΕΥΤΙΚΗ A.E.</v>
      </c>
      <c r="C299" t="str">
        <f>"273180202"</f>
        <v>273180202</v>
      </c>
      <c r="D299" s="8" t="str">
        <f>"2802731802025"</f>
        <v>2802731802025</v>
      </c>
      <c r="E299" s="8" t="str">
        <f>"ZOLANDIL GR CAPS 28x40MG"</f>
        <v>ZOLANDIL GR CAPS 28x40MG</v>
      </c>
      <c r="F299" s="9">
        <v>10.51</v>
      </c>
      <c r="G299" s="8"/>
      <c r="H299" s="10">
        <v>0.05</v>
      </c>
      <c r="I299" s="8"/>
    </row>
    <row r="300" spans="1:9" x14ac:dyDescent="0.25">
      <c r="A300" s="1">
        <v>2803188401021</v>
      </c>
      <c r="B300" t="str">
        <f>"DEMO  ABEE"</f>
        <v>DEMO  ABEE</v>
      </c>
      <c r="C300" t="str">
        <f>"318840102"</f>
        <v>318840102</v>
      </c>
      <c r="D300" s="16" t="str">
        <f>"2803188401021"</f>
        <v>2803188401021</v>
      </c>
      <c r="E300" s="16" t="str">
        <f>"ZYTODUR CAPS 30x(0,5+0,4)MG"</f>
        <v>ZYTODUR CAPS 30x(0,5+0,4)MG</v>
      </c>
      <c r="F300" s="17">
        <v>10.32</v>
      </c>
      <c r="G300" s="16"/>
      <c r="H300" s="18">
        <v>0.05</v>
      </c>
      <c r="I300" s="16"/>
    </row>
    <row r="301" spans="1:9" ht="15" customHeight="1" x14ac:dyDescent="0.25">
      <c r="A301" s="39" t="s">
        <v>16</v>
      </c>
      <c r="B301" s="39"/>
      <c r="C301" s="39"/>
      <c r="D301" s="39"/>
      <c r="E301" s="39"/>
      <c r="F301" s="39"/>
      <c r="G301" s="39"/>
      <c r="H301" s="39"/>
      <c r="I301" s="39"/>
    </row>
    <row r="302" spans="1:9" ht="15" customHeight="1" x14ac:dyDescent="0.25">
      <c r="A302" s="39"/>
      <c r="B302" s="39"/>
      <c r="C302" s="39"/>
      <c r="D302" s="39"/>
      <c r="E302" s="39"/>
      <c r="F302" s="39"/>
      <c r="G302" s="39"/>
      <c r="H302" s="39"/>
      <c r="I302" s="39"/>
    </row>
    <row r="303" spans="1:9" ht="15" customHeight="1" x14ac:dyDescent="0.25">
      <c r="A303" s="39"/>
      <c r="B303" s="39"/>
      <c r="C303" s="39"/>
      <c r="D303" s="39"/>
      <c r="E303" s="39"/>
      <c r="F303" s="39"/>
      <c r="G303" s="39"/>
      <c r="H303" s="39"/>
      <c r="I303" s="39"/>
    </row>
    <row r="304" spans="1:9" x14ac:dyDescent="0.25">
      <c r="A304" s="39"/>
      <c r="B304" s="39"/>
      <c r="C304" s="39"/>
      <c r="D304" s="39"/>
      <c r="E304" s="39"/>
      <c r="F304" s="39"/>
      <c r="G304" s="39"/>
      <c r="H304" s="39"/>
      <c r="I304" s="39"/>
    </row>
  </sheetData>
  <autoFilter ref="C6:I6" xr:uid="{00000000-0009-0000-0000-000000000000}"/>
  <mergeCells count="9">
    <mergeCell ref="E1:I2"/>
    <mergeCell ref="E3:I4"/>
    <mergeCell ref="I49:I53"/>
    <mergeCell ref="I286:I288"/>
    <mergeCell ref="A301:I304"/>
    <mergeCell ref="D5:I5"/>
    <mergeCell ref="I87:I88"/>
    <mergeCell ref="I182:I184"/>
    <mergeCell ref="I190:I191"/>
  </mergeCells>
  <pageMargins left="0" right="0" top="0.35433070866141736" bottom="0.35433070866141736" header="0.11811023622047245" footer="0.11811023622047245"/>
  <pageSetup paperSize="9" scale="80" orientation="portrait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ΣΥ.ΦΑ</vt:lpstr>
      <vt:lpstr>ΣΥ.ΦΑ!Print_Titles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gpagg</cp:lastModifiedBy>
  <cp:lastPrinted>2022-09-07T07:10:02Z</cp:lastPrinted>
  <dcterms:created xsi:type="dcterms:W3CDTF">2022-08-31T12:41:38Z</dcterms:created>
  <dcterms:modified xsi:type="dcterms:W3CDTF">2022-10-05T13:22:00Z</dcterms:modified>
</cp:coreProperties>
</file>